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5340" windowWidth="15480" windowHeight="6420"/>
  </bookViews>
  <sheets>
    <sheet name="2562" sheetId="1" r:id="rId1"/>
    <sheet name="งบกลาง สชป.2" sheetId="23" r:id="rId2"/>
    <sheet name="00743 เรือขุด ปี 62" sheetId="21" r:id="rId3"/>
    <sheet name="00712 ก่อสร้างปี 62งบกลาง " sheetId="22" r:id="rId4"/>
    <sheet name="ขยาย 61" sheetId="14" r:id="rId5"/>
    <sheet name="เงินขยาย 60  ." sheetId="16" r:id="rId6"/>
    <sheet name="00712 ก่อสร้าง ขยาย 61" sheetId="19" r:id="rId7"/>
    <sheet name="00743 เรือขุด ขยาย 61" sheetId="20" r:id="rId8"/>
    <sheet name="Sheet1" sheetId="2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calcPr calcId="145621"/>
</workbook>
</file>

<file path=xl/calcChain.xml><?xml version="1.0" encoding="utf-8"?>
<calcChain xmlns="http://schemas.openxmlformats.org/spreadsheetml/2006/main">
  <c r="K145" i="1" l="1"/>
  <c r="K19" i="21" l="1"/>
  <c r="K20" i="21"/>
  <c r="K192" i="1" l="1"/>
  <c r="K193" i="1"/>
  <c r="K182" i="1"/>
  <c r="K185" i="1"/>
  <c r="K172" i="1"/>
  <c r="K173" i="1"/>
  <c r="K174" i="1"/>
  <c r="K137" i="1"/>
  <c r="K97" i="1"/>
  <c r="K96" i="1"/>
  <c r="K113" i="1"/>
  <c r="K111" i="1"/>
  <c r="K52" i="1"/>
  <c r="K44" i="1"/>
  <c r="K45" i="1"/>
  <c r="K54" i="1"/>
  <c r="K49" i="1"/>
  <c r="K57" i="1"/>
  <c r="K123" i="1"/>
  <c r="K124" i="1"/>
  <c r="K122" i="1"/>
  <c r="K35" i="1"/>
  <c r="K6" i="22" l="1"/>
  <c r="K7" i="19"/>
  <c r="K10" i="22"/>
  <c r="G6" i="23" l="1"/>
  <c r="K181" i="1" l="1"/>
  <c r="K67" i="1"/>
  <c r="K92" i="1"/>
  <c r="K103" i="1"/>
  <c r="K73" i="1"/>
  <c r="K190" i="1"/>
  <c r="K189" i="1"/>
  <c r="K156" i="1" l="1"/>
  <c r="K157" i="1"/>
  <c r="K119" i="1"/>
  <c r="K133" i="1"/>
  <c r="K99" i="1"/>
  <c r="K95" i="1"/>
  <c r="K127" i="1" l="1"/>
  <c r="K7" i="22" l="1"/>
  <c r="K5" i="22"/>
  <c r="K13" i="1" l="1"/>
  <c r="K144" i="1" l="1"/>
  <c r="U19" i="21" l="1"/>
  <c r="K94" i="1" l="1"/>
  <c r="K107" i="1"/>
  <c r="K159" i="1" l="1"/>
  <c r="K116" i="1"/>
  <c r="K93" i="1" l="1"/>
  <c r="K5" i="16"/>
  <c r="K6" i="23" l="1"/>
  <c r="K143" i="1" l="1"/>
  <c r="K170" i="1"/>
  <c r="K81" i="1"/>
  <c r="K22" i="1"/>
  <c r="K5" i="14" l="1"/>
  <c r="K148" i="1" l="1"/>
  <c r="K101" i="1" l="1"/>
  <c r="K117" i="1" l="1"/>
  <c r="K6" i="19" l="1"/>
  <c r="K165" i="1" l="1"/>
  <c r="K120" i="1"/>
  <c r="K98" i="1"/>
  <c r="K129" i="1"/>
  <c r="K76" i="1"/>
  <c r="K68" i="1"/>
  <c r="K16" i="1"/>
  <c r="K56" i="1" l="1"/>
  <c r="K47" i="1"/>
  <c r="K69" i="1"/>
  <c r="K102" i="1"/>
  <c r="K14" i="1"/>
  <c r="K17" i="21" l="1"/>
  <c r="K149" i="1" l="1"/>
  <c r="K158" i="1"/>
  <c r="K100" i="1"/>
  <c r="K86" i="1"/>
  <c r="K36" i="1"/>
  <c r="G83" i="1" l="1"/>
  <c r="G112" i="1"/>
  <c r="G110" i="1"/>
  <c r="G46" i="1" l="1"/>
  <c r="G75" i="1"/>
  <c r="G74" i="1"/>
  <c r="G70" i="1"/>
  <c r="G65" i="1"/>
  <c r="G64" i="1"/>
  <c r="G60" i="1"/>
  <c r="G59" i="1"/>
  <c r="G27" i="1"/>
  <c r="G15" i="1"/>
  <c r="G11" i="1"/>
  <c r="G10" i="1"/>
  <c r="G7" i="1"/>
  <c r="K38" i="1" l="1"/>
  <c r="K104" i="1"/>
  <c r="K53" i="1"/>
  <c r="K63" i="1" l="1"/>
  <c r="K48" i="1" l="1"/>
  <c r="K87" i="1"/>
  <c r="K30" i="1"/>
  <c r="K28" i="1"/>
  <c r="K71" i="1" l="1"/>
  <c r="K55" i="1"/>
  <c r="K84" i="1"/>
  <c r="K88" i="1"/>
  <c r="K62" i="1"/>
  <c r="K19" i="1"/>
  <c r="K27" i="1"/>
  <c r="K40" i="1"/>
  <c r="K9" i="1"/>
  <c r="N9" i="22" l="1"/>
  <c r="O9" i="22"/>
  <c r="J9" i="22"/>
  <c r="K9" i="22"/>
  <c r="H9" i="22" s="1"/>
  <c r="F9" i="22"/>
  <c r="R9" i="22" s="1"/>
  <c r="G9" i="22"/>
  <c r="E9" i="22" s="1"/>
  <c r="G10" i="22"/>
  <c r="C10" i="22"/>
  <c r="B10" i="22"/>
  <c r="R10" i="22"/>
  <c r="L10" i="22"/>
  <c r="H10" i="22"/>
  <c r="I10" i="22" s="1"/>
  <c r="S10" i="22"/>
  <c r="E10" i="22"/>
  <c r="L9" i="22"/>
  <c r="S9" i="22" l="1"/>
  <c r="P9" i="22"/>
  <c r="Q9" i="22" s="1"/>
  <c r="M9" i="22"/>
  <c r="I9" i="22"/>
  <c r="P10" i="22"/>
  <c r="Q10" i="22" s="1"/>
  <c r="M10" i="22"/>
  <c r="K196" i="1" l="1"/>
  <c r="K168" i="1"/>
  <c r="K18" i="21" l="1"/>
  <c r="J183" i="1" l="1"/>
  <c r="C187" i="1" l="1"/>
  <c r="G187" i="1"/>
  <c r="G186" i="1" s="1"/>
  <c r="E186" i="1" s="1"/>
  <c r="B187" i="1"/>
  <c r="N186" i="1"/>
  <c r="R186" i="1" s="1"/>
  <c r="O186" i="1"/>
  <c r="J186" i="1"/>
  <c r="K186" i="1"/>
  <c r="F186" i="1"/>
  <c r="R187" i="1"/>
  <c r="L187" i="1"/>
  <c r="H187" i="1"/>
  <c r="I187" i="1" s="1"/>
  <c r="S187" i="1"/>
  <c r="E187" i="1"/>
  <c r="M187" i="1" l="1"/>
  <c r="P187" i="1"/>
  <c r="Q187" i="1" s="1"/>
  <c r="H186" i="1"/>
  <c r="I186" i="1" s="1"/>
  <c r="L186" i="1"/>
  <c r="M186" i="1" s="1"/>
  <c r="S186" i="1" l="1"/>
  <c r="P186" i="1" s="1"/>
  <c r="Q186" i="1" s="1"/>
  <c r="N4" i="23"/>
  <c r="O4" i="23"/>
  <c r="J4" i="23"/>
  <c r="K4" i="23"/>
  <c r="F4" i="23"/>
  <c r="K183" i="1" l="1"/>
  <c r="K6" i="20" l="1"/>
  <c r="K5" i="20"/>
  <c r="K114" i="1" l="1"/>
  <c r="J135" i="1" l="1"/>
  <c r="F135" i="1"/>
  <c r="G160" i="1"/>
  <c r="E160" i="1" s="1"/>
  <c r="G159" i="1"/>
  <c r="S159" i="1" s="1"/>
  <c r="H160" i="1"/>
  <c r="L160" i="1"/>
  <c r="R160" i="1"/>
  <c r="R159" i="1"/>
  <c r="L159" i="1"/>
  <c r="H159" i="1"/>
  <c r="C160" i="1"/>
  <c r="C159" i="1"/>
  <c r="B160" i="1"/>
  <c r="B159" i="1"/>
  <c r="N158" i="1"/>
  <c r="O158" i="1"/>
  <c r="J158" i="1"/>
  <c r="H158" i="1" s="1"/>
  <c r="F158" i="1"/>
  <c r="G158" i="1"/>
  <c r="N142" i="1"/>
  <c r="O142" i="1"/>
  <c r="J142" i="1"/>
  <c r="K142" i="1"/>
  <c r="F142" i="1"/>
  <c r="G145" i="1"/>
  <c r="E145" i="1" s="1"/>
  <c r="G144" i="1"/>
  <c r="E144" i="1" s="1"/>
  <c r="M144" i="1" s="1"/>
  <c r="G143" i="1"/>
  <c r="H144" i="1"/>
  <c r="L144" i="1"/>
  <c r="R144" i="1"/>
  <c r="S144" i="1"/>
  <c r="H145" i="1"/>
  <c r="L145" i="1"/>
  <c r="R145" i="1"/>
  <c r="C145" i="1"/>
  <c r="C144" i="1"/>
  <c r="C143" i="1"/>
  <c r="B145" i="1"/>
  <c r="B144" i="1"/>
  <c r="B143" i="1"/>
  <c r="R143" i="1"/>
  <c r="L143" i="1"/>
  <c r="H143" i="1"/>
  <c r="L142" i="1"/>
  <c r="I145" i="1" l="1"/>
  <c r="G142" i="1"/>
  <c r="S145" i="1"/>
  <c r="E143" i="1"/>
  <c r="M143" i="1" s="1"/>
  <c r="S160" i="1"/>
  <c r="P160" i="1" s="1"/>
  <c r="Q160" i="1" s="1"/>
  <c r="M160" i="1"/>
  <c r="I160" i="1"/>
  <c r="P159" i="1"/>
  <c r="E159" i="1"/>
  <c r="I159" i="1" s="1"/>
  <c r="L158" i="1"/>
  <c r="R158" i="1"/>
  <c r="S158" i="1"/>
  <c r="E158" i="1"/>
  <c r="P145" i="1"/>
  <c r="Q145" i="1" s="1"/>
  <c r="M145" i="1"/>
  <c r="I144" i="1"/>
  <c r="P144" i="1"/>
  <c r="Q144" i="1" s="1"/>
  <c r="I143" i="1"/>
  <c r="S143" i="1"/>
  <c r="P143" i="1" s="1"/>
  <c r="Q143" i="1" s="1"/>
  <c r="S142" i="1"/>
  <c r="H142" i="1"/>
  <c r="R142" i="1"/>
  <c r="Q159" i="1" l="1"/>
  <c r="M159" i="1"/>
  <c r="P158" i="1"/>
  <c r="Q158" i="1" s="1"/>
  <c r="M158" i="1"/>
  <c r="I158" i="1"/>
  <c r="P142" i="1"/>
  <c r="E142" i="1"/>
  <c r="M142" i="1" s="1"/>
  <c r="Q142" i="1" l="1"/>
  <c r="I142" i="1"/>
  <c r="K59" i="1" l="1"/>
  <c r="K34" i="1" l="1"/>
  <c r="K77" i="1"/>
  <c r="K32" i="1" l="1"/>
  <c r="K78" i="1"/>
  <c r="K9" i="21" l="1"/>
  <c r="K15" i="21" l="1"/>
  <c r="K164" i="1" l="1"/>
  <c r="K110" i="1"/>
  <c r="K61" i="1"/>
  <c r="K18" i="1"/>
  <c r="K6" i="21" l="1"/>
  <c r="K12" i="21"/>
  <c r="K11" i="21"/>
  <c r="K13" i="21"/>
  <c r="K150" i="1" l="1"/>
  <c r="K167" i="1" l="1"/>
  <c r="C148" i="1" l="1"/>
  <c r="K132" i="1" l="1"/>
  <c r="O132" i="1"/>
  <c r="N132" i="1"/>
  <c r="G133" i="1"/>
  <c r="S133" i="1" s="1"/>
  <c r="C133" i="1"/>
  <c r="B133" i="1"/>
  <c r="R133" i="1"/>
  <c r="L133" i="1"/>
  <c r="H133" i="1"/>
  <c r="L132" i="1" l="1"/>
  <c r="G132" i="1"/>
  <c r="S132" i="1" s="1"/>
  <c r="P133" i="1"/>
  <c r="E133" i="1"/>
  <c r="M133" i="1" s="1"/>
  <c r="Q133" i="1" l="1"/>
  <c r="I133" i="1"/>
  <c r="K130" i="1"/>
  <c r="K14" i="21" l="1"/>
  <c r="N146" i="1" l="1"/>
  <c r="O146" i="1"/>
  <c r="J146" i="1"/>
  <c r="F146" i="1"/>
  <c r="B157" i="1"/>
  <c r="B156" i="1"/>
  <c r="G157" i="1"/>
  <c r="S157" i="1" s="1"/>
  <c r="G156" i="1"/>
  <c r="S156" i="1" s="1"/>
  <c r="C157" i="1"/>
  <c r="C156" i="1"/>
  <c r="H157" i="1"/>
  <c r="L157" i="1"/>
  <c r="R157" i="1"/>
  <c r="H156" i="1"/>
  <c r="L156" i="1"/>
  <c r="R156" i="1"/>
  <c r="P157" i="1" l="1"/>
  <c r="E157" i="1"/>
  <c r="M157" i="1" s="1"/>
  <c r="P156" i="1"/>
  <c r="E156" i="1"/>
  <c r="M156" i="1" s="1"/>
  <c r="I157" i="1" l="1"/>
  <c r="Q157" i="1"/>
  <c r="Q156" i="1"/>
  <c r="I156" i="1"/>
  <c r="G5" i="22" l="1"/>
  <c r="C6" i="22"/>
  <c r="C5" i="22"/>
  <c r="B6" i="22"/>
  <c r="B5" i="22"/>
  <c r="K13" i="22" l="1"/>
  <c r="K106" i="1" l="1"/>
  <c r="K10" i="21" l="1"/>
  <c r="J194" i="1" l="1"/>
  <c r="K8" i="21"/>
  <c r="K147" i="1" l="1"/>
  <c r="K7" i="21" l="1"/>
  <c r="K16" i="21"/>
  <c r="K162" i="1" l="1"/>
  <c r="K139" i="1"/>
  <c r="K125" i="1"/>
  <c r="K80" i="1" l="1"/>
  <c r="G124" i="1" l="1"/>
  <c r="G122" i="1"/>
  <c r="G148" i="1" l="1"/>
  <c r="B57" i="1" l="1"/>
  <c r="C57" i="1"/>
  <c r="G57" i="1"/>
  <c r="E57" i="1" s="1"/>
  <c r="M57" i="1" s="1"/>
  <c r="H57" i="1"/>
  <c r="L57" i="1"/>
  <c r="R57" i="1"/>
  <c r="S57" i="1" l="1"/>
  <c r="P57" i="1" s="1"/>
  <c r="Q57" i="1" s="1"/>
  <c r="I57" i="1"/>
  <c r="E6" i="19" l="1"/>
  <c r="K65" i="1" l="1"/>
  <c r="K136" i="1" l="1"/>
  <c r="J128" i="1" l="1"/>
  <c r="K128" i="1"/>
  <c r="F128" i="1"/>
  <c r="G168" i="1"/>
  <c r="E168" i="1" s="1"/>
  <c r="H168" i="1"/>
  <c r="L168" i="1"/>
  <c r="R168" i="1"/>
  <c r="C168" i="1"/>
  <c r="B168" i="1"/>
  <c r="B167" i="1"/>
  <c r="G167" i="1"/>
  <c r="S167" i="1" s="1"/>
  <c r="C167" i="1"/>
  <c r="H167" i="1"/>
  <c r="L167" i="1"/>
  <c r="R167" i="1"/>
  <c r="K166" i="1"/>
  <c r="M168" i="1" l="1"/>
  <c r="S168" i="1"/>
  <c r="P168" i="1" s="1"/>
  <c r="Q168" i="1" s="1"/>
  <c r="I168" i="1"/>
  <c r="P167" i="1"/>
  <c r="E167" i="1"/>
  <c r="I167" i="1" s="1"/>
  <c r="M167" i="1" l="1"/>
  <c r="Q167" i="1"/>
  <c r="B131" i="1" l="1"/>
  <c r="C131" i="1"/>
  <c r="G131" i="1"/>
  <c r="E131" i="1" s="1"/>
  <c r="H131" i="1"/>
  <c r="L131" i="1"/>
  <c r="R131" i="1"/>
  <c r="S131" i="1" l="1"/>
  <c r="P131" i="1" s="1"/>
  <c r="Q131" i="1" s="1"/>
  <c r="I131" i="1"/>
  <c r="M131" i="1"/>
  <c r="K50" i="1"/>
  <c r="K141" i="1" l="1"/>
  <c r="K140" i="1"/>
  <c r="K7" i="1"/>
  <c r="H4" i="23" l="1"/>
  <c r="C6" i="23"/>
  <c r="R6" i="23"/>
  <c r="L6" i="23"/>
  <c r="H6" i="23"/>
  <c r="L4" i="23"/>
  <c r="E6" i="23" l="1"/>
  <c r="G4" i="23"/>
  <c r="S4" i="23" s="1"/>
  <c r="S6" i="23"/>
  <c r="P6" i="23" s="1"/>
  <c r="Q6" i="23" s="1"/>
  <c r="I6" i="23"/>
  <c r="M6" i="23"/>
  <c r="R4" i="23"/>
  <c r="G6" i="19"/>
  <c r="E4" i="23" l="1"/>
  <c r="I4" i="23" s="1"/>
  <c r="M4" i="23"/>
  <c r="P4" i="23"/>
  <c r="U4" i="23" s="1"/>
  <c r="Q4" i="23" l="1"/>
  <c r="T4" i="23" s="1"/>
  <c r="N4" i="20" l="1"/>
  <c r="J4" i="20"/>
  <c r="F4" i="20"/>
  <c r="G7" i="19"/>
  <c r="O4" i="19"/>
  <c r="J4" i="19"/>
  <c r="N4" i="19"/>
  <c r="F4" i="19"/>
  <c r="K4" i="19"/>
  <c r="G4" i="19" l="1"/>
  <c r="E4" i="19" s="1"/>
  <c r="K4" i="21" l="1"/>
  <c r="B20" i="21"/>
  <c r="B19" i="21"/>
  <c r="G20" i="21"/>
  <c r="S20" i="21" s="1"/>
  <c r="P20" i="21" s="1"/>
  <c r="C20" i="21"/>
  <c r="G19" i="21"/>
  <c r="E19" i="21" s="1"/>
  <c r="M19" i="21" s="1"/>
  <c r="C19" i="21"/>
  <c r="H20" i="21"/>
  <c r="L20" i="21"/>
  <c r="R20" i="21"/>
  <c r="H19" i="21"/>
  <c r="L19" i="21"/>
  <c r="R19" i="21"/>
  <c r="E20" i="21" l="1"/>
  <c r="M20" i="21" s="1"/>
  <c r="I19" i="21"/>
  <c r="S19" i="21"/>
  <c r="P19" i="21" s="1"/>
  <c r="Q19" i="21" s="1"/>
  <c r="I20" i="21" l="1"/>
  <c r="Q20" i="21"/>
  <c r="K7" i="16" l="1"/>
  <c r="G170" i="1" l="1"/>
  <c r="K155" i="1" l="1"/>
  <c r="K154" i="1"/>
  <c r="K66" i="1" l="1"/>
  <c r="K29" i="1"/>
  <c r="K70" i="1" l="1"/>
  <c r="K64" i="1"/>
  <c r="K60" i="1"/>
  <c r="K8" i="1"/>
  <c r="K21" i="1"/>
  <c r="K15" i="1" l="1"/>
  <c r="F6" i="22" l="1"/>
  <c r="K151" i="1" l="1"/>
  <c r="K152" i="1"/>
  <c r="K153" i="1"/>
  <c r="K146" i="1" l="1"/>
  <c r="O43" i="1" l="1"/>
  <c r="G56" i="1"/>
  <c r="E56" i="1" s="1"/>
  <c r="H56" i="1"/>
  <c r="L56" i="1"/>
  <c r="R56" i="1"/>
  <c r="C56" i="1"/>
  <c r="B56" i="1"/>
  <c r="M56" i="1" l="1"/>
  <c r="I56" i="1"/>
  <c r="S56" i="1"/>
  <c r="P56" i="1" s="1"/>
  <c r="Q56" i="1" s="1"/>
  <c r="N195" i="1" l="1"/>
  <c r="O195" i="1"/>
  <c r="J195" i="1"/>
  <c r="K195" i="1"/>
  <c r="H195" i="1" s="1"/>
  <c r="F195" i="1"/>
  <c r="C196" i="1"/>
  <c r="B196" i="1"/>
  <c r="G196" i="1"/>
  <c r="G195" i="1" s="1"/>
  <c r="E195" i="1" s="1"/>
  <c r="R196" i="1"/>
  <c r="L196" i="1"/>
  <c r="H196" i="1"/>
  <c r="E196" i="1" l="1"/>
  <c r="M196" i="1" s="1"/>
  <c r="S196" i="1"/>
  <c r="P196" i="1" s="1"/>
  <c r="I195" i="1"/>
  <c r="R195" i="1"/>
  <c r="L195" i="1"/>
  <c r="S195" i="1"/>
  <c r="C6" i="20"/>
  <c r="C5" i="20"/>
  <c r="I196" i="1" l="1"/>
  <c r="Q196" i="1"/>
  <c r="P195" i="1"/>
  <c r="Q195" i="1" s="1"/>
  <c r="L36" i="1" l="1"/>
  <c r="G18" i="21" l="1"/>
  <c r="E18" i="21" s="1"/>
  <c r="G17" i="21"/>
  <c r="E17" i="21" s="1"/>
  <c r="C18" i="21"/>
  <c r="B18" i="21"/>
  <c r="H17" i="21"/>
  <c r="L17" i="21"/>
  <c r="R17" i="21"/>
  <c r="H18" i="21"/>
  <c r="L18" i="21"/>
  <c r="R18" i="21"/>
  <c r="C17" i="21"/>
  <c r="B17" i="21"/>
  <c r="M18" i="21" l="1"/>
  <c r="S18" i="21"/>
  <c r="P18" i="21" s="1"/>
  <c r="Q18" i="21" s="1"/>
  <c r="S17" i="21"/>
  <c r="P17" i="21" s="1"/>
  <c r="Q17" i="21" s="1"/>
  <c r="I18" i="21"/>
  <c r="M17" i="21"/>
  <c r="I17" i="21"/>
  <c r="K31" i="1" l="1"/>
  <c r="C130" i="1" l="1"/>
  <c r="O128" i="1"/>
  <c r="G130" i="1"/>
  <c r="S130" i="1" s="1"/>
  <c r="B130" i="1"/>
  <c r="H130" i="1"/>
  <c r="L130" i="1"/>
  <c r="R130" i="1"/>
  <c r="P130" i="1" l="1"/>
  <c r="E130" i="1"/>
  <c r="M130" i="1" s="1"/>
  <c r="Q130" i="1" l="1"/>
  <c r="I130" i="1"/>
  <c r="K5" i="21" l="1"/>
  <c r="K163" i="1" l="1"/>
  <c r="K161" i="1" s="1"/>
  <c r="C129" i="1"/>
  <c r="K75" i="1"/>
  <c r="G193" i="1" l="1"/>
  <c r="S193" i="1" s="1"/>
  <c r="C193" i="1"/>
  <c r="B193" i="1"/>
  <c r="H193" i="1"/>
  <c r="L193" i="1"/>
  <c r="R193" i="1"/>
  <c r="E193" i="1" l="1"/>
  <c r="M193" i="1" s="1"/>
  <c r="P193" i="1"/>
  <c r="Q193" i="1" l="1"/>
  <c r="I193" i="1"/>
  <c r="O161" i="1" l="1"/>
  <c r="F161" i="1"/>
  <c r="G166" i="1"/>
  <c r="S166" i="1" s="1"/>
  <c r="C166" i="1"/>
  <c r="B166" i="1"/>
  <c r="H166" i="1"/>
  <c r="L166" i="1"/>
  <c r="R166" i="1"/>
  <c r="P166" i="1" l="1"/>
  <c r="E166" i="1"/>
  <c r="M166" i="1" s="1"/>
  <c r="Q166" i="1" l="1"/>
  <c r="I166" i="1"/>
  <c r="K12" i="1" l="1"/>
  <c r="K23" i="1"/>
  <c r="F183" i="1" l="1"/>
  <c r="G183" i="1"/>
  <c r="K112" i="1" l="1"/>
  <c r="C113" i="1"/>
  <c r="C112" i="1"/>
  <c r="C111" i="1"/>
  <c r="K115" i="1" l="1"/>
  <c r="K11" i="1"/>
  <c r="H11" i="1" s="1"/>
  <c r="C7" i="19" l="1"/>
  <c r="B7" i="19"/>
  <c r="H7" i="19"/>
  <c r="L7" i="19"/>
  <c r="R7" i="19"/>
  <c r="S7" i="19"/>
  <c r="E7" i="19" l="1"/>
  <c r="M7" i="19" s="1"/>
  <c r="P7" i="19"/>
  <c r="B14" i="21"/>
  <c r="B13" i="21"/>
  <c r="B12" i="21"/>
  <c r="B11" i="21"/>
  <c r="B10" i="21"/>
  <c r="B9" i="21"/>
  <c r="B8" i="21"/>
  <c r="B7" i="21"/>
  <c r="B6" i="21"/>
  <c r="G14" i="21"/>
  <c r="E14" i="21" s="1"/>
  <c r="G13" i="21"/>
  <c r="E13" i="21" s="1"/>
  <c r="G12" i="21"/>
  <c r="E12" i="21" s="1"/>
  <c r="G11" i="21"/>
  <c r="E11" i="21" s="1"/>
  <c r="G10" i="21"/>
  <c r="G9" i="21"/>
  <c r="E9" i="21" s="1"/>
  <c r="G8" i="21"/>
  <c r="E8" i="21" s="1"/>
  <c r="G7" i="21"/>
  <c r="S7" i="21" s="1"/>
  <c r="G6" i="21"/>
  <c r="C14" i="21"/>
  <c r="C13" i="21"/>
  <c r="C12" i="21"/>
  <c r="C11" i="21"/>
  <c r="C10" i="21"/>
  <c r="C9" i="21"/>
  <c r="C8" i="21"/>
  <c r="C7" i="21"/>
  <c r="C6" i="21"/>
  <c r="H7" i="21"/>
  <c r="L7" i="21"/>
  <c r="R7" i="21"/>
  <c r="H8" i="21"/>
  <c r="L8" i="21"/>
  <c r="R8" i="21"/>
  <c r="H9" i="21"/>
  <c r="L9" i="21"/>
  <c r="R9" i="21"/>
  <c r="E10" i="21"/>
  <c r="H10" i="21"/>
  <c r="L10" i="21"/>
  <c r="R10" i="21"/>
  <c r="S10" i="21"/>
  <c r="H11" i="21"/>
  <c r="L11" i="21"/>
  <c r="R11" i="21"/>
  <c r="H12" i="21"/>
  <c r="L12" i="21"/>
  <c r="R12" i="21"/>
  <c r="S12" i="21"/>
  <c r="H13" i="21"/>
  <c r="L13" i="21"/>
  <c r="R13" i="21"/>
  <c r="H14" i="21"/>
  <c r="L14" i="21"/>
  <c r="R14" i="21"/>
  <c r="S14" i="21"/>
  <c r="E6" i="21"/>
  <c r="H6" i="21"/>
  <c r="L6" i="21"/>
  <c r="R6" i="21"/>
  <c r="S6" i="21"/>
  <c r="S11" i="21" l="1"/>
  <c r="S13" i="21"/>
  <c r="S9" i="21"/>
  <c r="P9" i="21" s="1"/>
  <c r="Q9" i="21" s="1"/>
  <c r="I7" i="19"/>
  <c r="Q7" i="19"/>
  <c r="I10" i="21"/>
  <c r="P7" i="21"/>
  <c r="M8" i="21"/>
  <c r="M12" i="21"/>
  <c r="P11" i="21"/>
  <c r="Q11" i="21" s="1"/>
  <c r="I11" i="21"/>
  <c r="M11" i="21"/>
  <c r="I14" i="21"/>
  <c r="P12" i="21"/>
  <c r="Q12" i="21" s="1"/>
  <c r="I12" i="21"/>
  <c r="P10" i="21"/>
  <c r="Q10" i="21" s="1"/>
  <c r="M9" i="21"/>
  <c r="S8" i="21"/>
  <c r="P8" i="21" s="1"/>
  <c r="Q8" i="21" s="1"/>
  <c r="I8" i="21"/>
  <c r="E7" i="21"/>
  <c r="I6" i="21"/>
  <c r="P14" i="21"/>
  <c r="Q14" i="21" s="1"/>
  <c r="M10" i="21"/>
  <c r="M14" i="21"/>
  <c r="M13" i="21"/>
  <c r="I9" i="21"/>
  <c r="M6" i="21"/>
  <c r="P13" i="21"/>
  <c r="Q13" i="21" s="1"/>
  <c r="I13" i="21"/>
  <c r="P6" i="21"/>
  <c r="Q6" i="21" s="1"/>
  <c r="Q7" i="21" l="1"/>
  <c r="I7" i="21"/>
  <c r="M7" i="21"/>
  <c r="B194" i="1"/>
  <c r="N191" i="1"/>
  <c r="O191" i="1"/>
  <c r="J191" i="1"/>
  <c r="K191" i="1"/>
  <c r="F194" i="1"/>
  <c r="R194" i="1" s="1"/>
  <c r="C194" i="1"/>
  <c r="H194" i="1"/>
  <c r="L194" i="1"/>
  <c r="E194" i="1" l="1"/>
  <c r="M194" i="1" s="1"/>
  <c r="F191" i="1"/>
  <c r="S194" i="1"/>
  <c r="P194" i="1" s="1"/>
  <c r="Q194" i="1" l="1"/>
  <c r="I194" i="1"/>
  <c r="G129" i="1"/>
  <c r="G128" i="1" s="1"/>
  <c r="B129" i="1"/>
  <c r="R129" i="1"/>
  <c r="L129" i="1"/>
  <c r="H129" i="1"/>
  <c r="N128" i="1"/>
  <c r="L128" i="1" s="1"/>
  <c r="E128" i="1" l="1"/>
  <c r="M128" i="1" s="1"/>
  <c r="R128" i="1"/>
  <c r="E129" i="1"/>
  <c r="I129" i="1" s="1"/>
  <c r="S129" i="1"/>
  <c r="P129" i="1" s="1"/>
  <c r="H128" i="1"/>
  <c r="S128" i="1" l="1"/>
  <c r="P128" i="1" s="1"/>
  <c r="Q128" i="1" s="1"/>
  <c r="M129" i="1"/>
  <c r="I128" i="1"/>
  <c r="Q129" i="1"/>
  <c r="K10" i="1" l="1"/>
  <c r="O184" i="1" l="1"/>
  <c r="N184" i="1"/>
  <c r="L184" i="1" s="1"/>
  <c r="K184" i="1"/>
  <c r="G185" i="1"/>
  <c r="S185" i="1" s="1"/>
  <c r="C185" i="1"/>
  <c r="B185" i="1"/>
  <c r="R185" i="1"/>
  <c r="L185" i="1"/>
  <c r="H185" i="1"/>
  <c r="G184" i="1" l="1"/>
  <c r="S184" i="1" s="1"/>
  <c r="P185" i="1"/>
  <c r="E185" i="1"/>
  <c r="I185" i="1" s="1"/>
  <c r="G16" i="21"/>
  <c r="E16" i="21" s="1"/>
  <c r="M16" i="21" s="1"/>
  <c r="H16" i="21"/>
  <c r="L16" i="21"/>
  <c r="R16" i="21"/>
  <c r="C16" i="21"/>
  <c r="B16" i="21"/>
  <c r="Q185" i="1" l="1"/>
  <c r="M185" i="1"/>
  <c r="I16" i="21"/>
  <c r="S16" i="21"/>
  <c r="P16" i="21" s="1"/>
  <c r="Q16" i="21" s="1"/>
  <c r="G165" i="1" l="1"/>
  <c r="E165" i="1" s="1"/>
  <c r="C165" i="1"/>
  <c r="B165" i="1"/>
  <c r="H165" i="1"/>
  <c r="L165" i="1"/>
  <c r="R165" i="1"/>
  <c r="M165" i="1" l="1"/>
  <c r="S165" i="1"/>
  <c r="P165" i="1" s="1"/>
  <c r="Q165" i="1" s="1"/>
  <c r="I165" i="1"/>
  <c r="K6" i="1" l="1"/>
  <c r="O171" i="1" l="1"/>
  <c r="N171" i="1"/>
  <c r="K171" i="1"/>
  <c r="J171" i="1"/>
  <c r="F171" i="1"/>
  <c r="G174" i="1"/>
  <c r="E174" i="1" s="1"/>
  <c r="G173" i="1"/>
  <c r="E173" i="1" s="1"/>
  <c r="C174" i="1"/>
  <c r="B174" i="1"/>
  <c r="C173" i="1"/>
  <c r="B173" i="1"/>
  <c r="G172" i="1"/>
  <c r="E172" i="1" s="1"/>
  <c r="C172" i="1"/>
  <c r="B172" i="1"/>
  <c r="H173" i="1"/>
  <c r="L173" i="1"/>
  <c r="R173" i="1"/>
  <c r="S173" i="1"/>
  <c r="H174" i="1"/>
  <c r="L174" i="1"/>
  <c r="R174" i="1"/>
  <c r="S174" i="1"/>
  <c r="H172" i="1"/>
  <c r="R172" i="1"/>
  <c r="R171" i="1" s="1"/>
  <c r="L172" i="1"/>
  <c r="H171" i="1" l="1"/>
  <c r="I173" i="1"/>
  <c r="I174" i="1"/>
  <c r="S172" i="1"/>
  <c r="S171" i="1" s="1"/>
  <c r="P171" i="1" s="1"/>
  <c r="G171" i="1"/>
  <c r="E171" i="1" s="1"/>
  <c r="I171" i="1" s="1"/>
  <c r="M173" i="1"/>
  <c r="M174" i="1"/>
  <c r="L171" i="1"/>
  <c r="M172" i="1"/>
  <c r="P174" i="1"/>
  <c r="Q174" i="1" s="1"/>
  <c r="P173" i="1"/>
  <c r="Q173" i="1" s="1"/>
  <c r="I172" i="1"/>
  <c r="G125" i="1"/>
  <c r="E125" i="1" s="1"/>
  <c r="C125" i="1"/>
  <c r="B125" i="1"/>
  <c r="H125" i="1"/>
  <c r="L125" i="1"/>
  <c r="R125" i="1"/>
  <c r="P172" i="1" l="1"/>
  <c r="Q172" i="1" s="1"/>
  <c r="M171" i="1"/>
  <c r="Q171" i="1"/>
  <c r="M125" i="1"/>
  <c r="I125" i="1"/>
  <c r="S125" i="1"/>
  <c r="P125" i="1" s="1"/>
  <c r="Q125" i="1" s="1"/>
  <c r="O188" i="1" l="1"/>
  <c r="K188" i="1"/>
  <c r="G190" i="1"/>
  <c r="E190" i="1" s="1"/>
  <c r="C190" i="1"/>
  <c r="B190" i="1"/>
  <c r="H190" i="1"/>
  <c r="L190" i="1"/>
  <c r="R190" i="1"/>
  <c r="M190" i="1" l="1"/>
  <c r="S190" i="1"/>
  <c r="P190" i="1" s="1"/>
  <c r="Q190" i="1" s="1"/>
  <c r="I190" i="1"/>
  <c r="G7" i="22"/>
  <c r="E7" i="22" s="1"/>
  <c r="C7" i="22"/>
  <c r="B7" i="22"/>
  <c r="H7" i="22"/>
  <c r="L7" i="22"/>
  <c r="R7" i="22"/>
  <c r="S7" i="22" l="1"/>
  <c r="P7" i="22" s="1"/>
  <c r="Q7" i="22" s="1"/>
  <c r="I7" i="22"/>
  <c r="M7" i="22"/>
  <c r="K25" i="1" l="1"/>
  <c r="K43" i="1"/>
  <c r="K46" i="1"/>
  <c r="K83" i="1"/>
  <c r="G15" i="21" l="1"/>
  <c r="S15" i="21" s="1"/>
  <c r="B15" i="21"/>
  <c r="C15" i="21"/>
  <c r="H15" i="21"/>
  <c r="L15" i="21"/>
  <c r="R15" i="21"/>
  <c r="P15" i="21" l="1"/>
  <c r="E15" i="21"/>
  <c r="M15" i="21" s="1"/>
  <c r="Q15" i="21" l="1"/>
  <c r="I15" i="21"/>
  <c r="O39" i="1"/>
  <c r="B41" i="1"/>
  <c r="G41" i="1"/>
  <c r="E41" i="1" s="1"/>
  <c r="C41" i="1"/>
  <c r="H41" i="1"/>
  <c r="L41" i="1"/>
  <c r="R41" i="1"/>
  <c r="O79" i="1"/>
  <c r="B88" i="1"/>
  <c r="B87" i="1"/>
  <c r="G88" i="1"/>
  <c r="G87" i="1"/>
  <c r="C88" i="1"/>
  <c r="C87" i="1"/>
  <c r="E88" i="1"/>
  <c r="H88" i="1"/>
  <c r="L88" i="1"/>
  <c r="R88" i="1"/>
  <c r="S88" i="1"/>
  <c r="E87" i="1"/>
  <c r="H87" i="1"/>
  <c r="L87" i="1"/>
  <c r="R87" i="1"/>
  <c r="S87" i="1"/>
  <c r="O58" i="1"/>
  <c r="B78" i="1"/>
  <c r="G78" i="1"/>
  <c r="E78" i="1" s="1"/>
  <c r="C78" i="1"/>
  <c r="H78" i="1"/>
  <c r="L78" i="1"/>
  <c r="R78" i="1"/>
  <c r="B55" i="1"/>
  <c r="G55" i="1"/>
  <c r="E55" i="1" s="1"/>
  <c r="C55" i="1"/>
  <c r="H55" i="1"/>
  <c r="L55" i="1"/>
  <c r="R55" i="1"/>
  <c r="P88" i="1" l="1"/>
  <c r="Q88" i="1" s="1"/>
  <c r="M88" i="1"/>
  <c r="M78" i="1"/>
  <c r="P87" i="1"/>
  <c r="Q87" i="1" s="1"/>
  <c r="M87" i="1"/>
  <c r="S78" i="1"/>
  <c r="P78" i="1" s="1"/>
  <c r="Q78" i="1" s="1"/>
  <c r="I41" i="1"/>
  <c r="M41" i="1"/>
  <c r="S41" i="1"/>
  <c r="P41" i="1" s="1"/>
  <c r="Q41" i="1" s="1"/>
  <c r="I88" i="1"/>
  <c r="I87" i="1"/>
  <c r="I78" i="1"/>
  <c r="M55" i="1"/>
  <c r="I55" i="1"/>
  <c r="S55" i="1"/>
  <c r="P55" i="1" s="1"/>
  <c r="Q55" i="1" s="1"/>
  <c r="F4" i="22" l="1"/>
  <c r="S6" i="22"/>
  <c r="H6" i="22"/>
  <c r="L6" i="22"/>
  <c r="O118" i="1"/>
  <c r="G120" i="1"/>
  <c r="E120" i="1" s="1"/>
  <c r="C120" i="1"/>
  <c r="B120" i="1"/>
  <c r="H120" i="1"/>
  <c r="L120" i="1"/>
  <c r="R120" i="1"/>
  <c r="E6" i="22" l="1"/>
  <c r="M6" i="22" s="1"/>
  <c r="R6" i="22"/>
  <c r="P6" i="22" s="1"/>
  <c r="I120" i="1"/>
  <c r="M120" i="1"/>
  <c r="S120" i="1"/>
  <c r="P120" i="1" s="1"/>
  <c r="Q120" i="1" s="1"/>
  <c r="H137" i="1"/>
  <c r="G137" i="1"/>
  <c r="E137" i="1" s="1"/>
  <c r="C137" i="1"/>
  <c r="B137" i="1"/>
  <c r="L137" i="1"/>
  <c r="R137" i="1"/>
  <c r="O91" i="1"/>
  <c r="N91" i="1"/>
  <c r="G107" i="1"/>
  <c r="S107" i="1" s="1"/>
  <c r="H107" i="1"/>
  <c r="L107" i="1"/>
  <c r="R107" i="1"/>
  <c r="C107" i="1"/>
  <c r="B107" i="1"/>
  <c r="Q6" i="22" l="1"/>
  <c r="I137" i="1"/>
  <c r="I6" i="22"/>
  <c r="E107" i="1"/>
  <c r="I107" i="1" s="1"/>
  <c r="M137" i="1"/>
  <c r="S137" i="1"/>
  <c r="P137" i="1" s="1"/>
  <c r="Q137" i="1" s="1"/>
  <c r="P107" i="1"/>
  <c r="H5" i="22"/>
  <c r="G4" i="22"/>
  <c r="R5" i="22"/>
  <c r="L5" i="22"/>
  <c r="O4" i="22"/>
  <c r="N4" i="22"/>
  <c r="K4" i="22"/>
  <c r="J4" i="22"/>
  <c r="L4" i="22" l="1"/>
  <c r="M107" i="1"/>
  <c r="Q107" i="1"/>
  <c r="S4" i="22"/>
  <c r="E4" i="22"/>
  <c r="M4" i="22" s="1"/>
  <c r="R4" i="22"/>
  <c r="S5" i="22"/>
  <c r="P5" i="22" s="1"/>
  <c r="H4" i="22"/>
  <c r="E5" i="22"/>
  <c r="M5" i="22" s="1"/>
  <c r="C164" i="1"/>
  <c r="C163" i="1"/>
  <c r="C162" i="1"/>
  <c r="I5" i="22" l="1"/>
  <c r="Q5" i="22"/>
  <c r="I4" i="22"/>
  <c r="P4" i="22"/>
  <c r="K121" i="1" l="1"/>
  <c r="U4" i="22"/>
  <c r="Q4" i="22"/>
  <c r="T4" i="22" s="1"/>
  <c r="K118" i="1" l="1"/>
  <c r="K91" i="1" l="1"/>
  <c r="K74" i="1"/>
  <c r="K85" i="1"/>
  <c r="K79" i="1" s="1"/>
  <c r="K24" i="1"/>
  <c r="G82" i="1" l="1"/>
  <c r="C5" i="21" l="1"/>
  <c r="B5" i="21"/>
  <c r="R5" i="21" l="1"/>
  <c r="L5" i="21"/>
  <c r="H5" i="21"/>
  <c r="O4" i="21"/>
  <c r="N4" i="21"/>
  <c r="J4" i="21"/>
  <c r="F4" i="21"/>
  <c r="R4" i="21" l="1"/>
  <c r="H4" i="21"/>
  <c r="L4" i="21"/>
  <c r="F6" i="16"/>
  <c r="G127" i="1" l="1"/>
  <c r="S127" i="1" s="1"/>
  <c r="C127" i="1"/>
  <c r="B127" i="1"/>
  <c r="R127" i="1"/>
  <c r="L127" i="1"/>
  <c r="H127" i="1"/>
  <c r="O126" i="1"/>
  <c r="N126" i="1"/>
  <c r="K126" i="1"/>
  <c r="J126" i="1"/>
  <c r="F126" i="1"/>
  <c r="R126" i="1" l="1"/>
  <c r="G126" i="1"/>
  <c r="E126" i="1" s="1"/>
  <c r="L126" i="1"/>
  <c r="P127" i="1"/>
  <c r="H126" i="1"/>
  <c r="E127" i="1"/>
  <c r="I127" i="1" s="1"/>
  <c r="S126" i="1" l="1"/>
  <c r="P126" i="1" s="1"/>
  <c r="Q126" i="1" s="1"/>
  <c r="M126" i="1"/>
  <c r="Q127" i="1"/>
  <c r="I126" i="1"/>
  <c r="M127" i="1"/>
  <c r="B192" i="1" l="1"/>
  <c r="G192" i="1"/>
  <c r="C192" i="1"/>
  <c r="R192" i="1"/>
  <c r="L192" i="1"/>
  <c r="H192" i="1"/>
  <c r="E192" i="1" l="1"/>
  <c r="I192" i="1" s="1"/>
  <c r="G191" i="1"/>
  <c r="E191" i="1" s="1"/>
  <c r="H191" i="1"/>
  <c r="R191" i="1"/>
  <c r="S192" i="1"/>
  <c r="P192" i="1" s="1"/>
  <c r="Q192" i="1" s="1"/>
  <c r="L191" i="1"/>
  <c r="M192" i="1" l="1"/>
  <c r="S191" i="1"/>
  <c r="P191" i="1" s="1"/>
  <c r="Q191" i="1" s="1"/>
  <c r="I191" i="1"/>
  <c r="H163" i="1" l="1"/>
  <c r="K20" i="1" l="1"/>
  <c r="K72" i="1" l="1"/>
  <c r="B86" i="1" l="1"/>
  <c r="C86" i="1"/>
  <c r="G86" i="1"/>
  <c r="E86" i="1" s="1"/>
  <c r="H86" i="1"/>
  <c r="L86" i="1"/>
  <c r="R86" i="1"/>
  <c r="I86" i="1" l="1"/>
  <c r="M86" i="1"/>
  <c r="S86" i="1"/>
  <c r="P86" i="1" s="1"/>
  <c r="Q86" i="1" s="1"/>
  <c r="G51" i="1" l="1"/>
  <c r="K58" i="1" l="1"/>
  <c r="G123" i="1" l="1"/>
  <c r="G140" i="1" l="1"/>
  <c r="B16" i="1"/>
  <c r="G16" i="1"/>
  <c r="E16" i="1" s="1"/>
  <c r="C16" i="1"/>
  <c r="H16" i="1"/>
  <c r="L16" i="1"/>
  <c r="R16" i="1"/>
  <c r="M16" i="1" l="1"/>
  <c r="I16" i="1"/>
  <c r="S16" i="1"/>
  <c r="P16" i="1" s="1"/>
  <c r="Q16" i="1" s="1"/>
  <c r="G84" i="1" l="1"/>
  <c r="G182" i="1" l="1"/>
  <c r="G62" i="1" l="1"/>
  <c r="G181" i="1"/>
  <c r="J91" i="1"/>
  <c r="F91" i="1"/>
  <c r="G106" i="1"/>
  <c r="E106" i="1" s="1"/>
  <c r="G105" i="1"/>
  <c r="G104" i="1"/>
  <c r="S104" i="1" s="1"/>
  <c r="G103" i="1"/>
  <c r="S103" i="1" s="1"/>
  <c r="G102" i="1"/>
  <c r="C106" i="1"/>
  <c r="C105" i="1"/>
  <c r="C104" i="1"/>
  <c r="C103" i="1"/>
  <c r="C102" i="1"/>
  <c r="B106" i="1"/>
  <c r="B105" i="1"/>
  <c r="B104" i="1"/>
  <c r="B103" i="1"/>
  <c r="B102" i="1"/>
  <c r="H103" i="1"/>
  <c r="L103" i="1"/>
  <c r="R103" i="1"/>
  <c r="H104" i="1"/>
  <c r="L104" i="1"/>
  <c r="R104" i="1"/>
  <c r="E105" i="1"/>
  <c r="H105" i="1"/>
  <c r="L105" i="1"/>
  <c r="R105" i="1"/>
  <c r="S105" i="1"/>
  <c r="H106" i="1"/>
  <c r="L106" i="1"/>
  <c r="R106" i="1"/>
  <c r="E102" i="1"/>
  <c r="H102" i="1"/>
  <c r="L102" i="1"/>
  <c r="R102" i="1"/>
  <c r="S102" i="1"/>
  <c r="P103" i="1" l="1"/>
  <c r="I105" i="1"/>
  <c r="M106" i="1"/>
  <c r="I106" i="1"/>
  <c r="S106" i="1"/>
  <c r="P106" i="1" s="1"/>
  <c r="Q106" i="1" s="1"/>
  <c r="P105" i="1"/>
  <c r="Q105" i="1" s="1"/>
  <c r="M105" i="1"/>
  <c r="E104" i="1"/>
  <c r="P104" i="1"/>
  <c r="E103" i="1"/>
  <c r="M103" i="1" s="1"/>
  <c r="P102" i="1"/>
  <c r="Q102" i="1" s="1"/>
  <c r="I102" i="1"/>
  <c r="M102" i="1"/>
  <c r="G14" i="1"/>
  <c r="S14" i="1" s="1"/>
  <c r="G31" i="1"/>
  <c r="G30" i="1"/>
  <c r="G29" i="1"/>
  <c r="G28" i="1"/>
  <c r="I103" i="1" l="1"/>
  <c r="Q103" i="1"/>
  <c r="I104" i="1"/>
  <c r="M104" i="1"/>
  <c r="Q104" i="1"/>
  <c r="B155" i="1" l="1"/>
  <c r="B154" i="1"/>
  <c r="B153" i="1"/>
  <c r="B152" i="1"/>
  <c r="B151" i="1"/>
  <c r="G155" i="1"/>
  <c r="E155" i="1" s="1"/>
  <c r="G154" i="1"/>
  <c r="E154" i="1" s="1"/>
  <c r="G153" i="1"/>
  <c r="S153" i="1" s="1"/>
  <c r="G152" i="1"/>
  <c r="E152" i="1" s="1"/>
  <c r="G151" i="1"/>
  <c r="E151" i="1" s="1"/>
  <c r="C152" i="1"/>
  <c r="C153" i="1"/>
  <c r="C154" i="1"/>
  <c r="C155" i="1"/>
  <c r="C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1" i="1"/>
  <c r="L151" i="1"/>
  <c r="R151" i="1"/>
  <c r="E153" i="1" l="1"/>
  <c r="S155" i="1"/>
  <c r="P155" i="1" s="1"/>
  <c r="Q155" i="1" s="1"/>
  <c r="M152" i="1"/>
  <c r="I154" i="1"/>
  <c r="M155" i="1"/>
  <c r="I153" i="1"/>
  <c r="M154" i="1"/>
  <c r="S154" i="1"/>
  <c r="P154" i="1" s="1"/>
  <c r="Q154" i="1" s="1"/>
  <c r="P153" i="1"/>
  <c r="Q153" i="1" s="1"/>
  <c r="I152" i="1"/>
  <c r="I155" i="1"/>
  <c r="M153" i="1"/>
  <c r="S152" i="1"/>
  <c r="P152" i="1" s="1"/>
  <c r="Q152" i="1" s="1"/>
  <c r="M151" i="1"/>
  <c r="I151" i="1"/>
  <c r="S151" i="1"/>
  <c r="P151" i="1" s="1"/>
  <c r="Q151" i="1" s="1"/>
  <c r="G101" i="1"/>
  <c r="S101" i="1" s="1"/>
  <c r="G100" i="1"/>
  <c r="E100" i="1" s="1"/>
  <c r="G99" i="1"/>
  <c r="S99" i="1" s="1"/>
  <c r="G98" i="1"/>
  <c r="S98" i="1" s="1"/>
  <c r="G97" i="1"/>
  <c r="E97" i="1" s="1"/>
  <c r="B101" i="1"/>
  <c r="B100" i="1"/>
  <c r="B99" i="1"/>
  <c r="B98" i="1"/>
  <c r="B97" i="1"/>
  <c r="C101" i="1"/>
  <c r="C100" i="1"/>
  <c r="C99" i="1"/>
  <c r="C98" i="1"/>
  <c r="C97" i="1"/>
  <c r="E98" i="1"/>
  <c r="H98" i="1"/>
  <c r="L98" i="1"/>
  <c r="R98" i="1"/>
  <c r="H99" i="1"/>
  <c r="L99" i="1"/>
  <c r="R99" i="1"/>
  <c r="H100" i="1"/>
  <c r="L100" i="1"/>
  <c r="R100" i="1"/>
  <c r="H101" i="1"/>
  <c r="L101" i="1"/>
  <c r="R101" i="1"/>
  <c r="H97" i="1"/>
  <c r="L97" i="1"/>
  <c r="R97" i="1"/>
  <c r="M97" i="1" l="1"/>
  <c r="I98" i="1"/>
  <c r="P98" i="1"/>
  <c r="Q98" i="1" s="1"/>
  <c r="P99" i="1"/>
  <c r="M98" i="1"/>
  <c r="P101" i="1"/>
  <c r="E101" i="1"/>
  <c r="I101" i="1" s="1"/>
  <c r="I100" i="1"/>
  <c r="M100" i="1"/>
  <c r="S100" i="1"/>
  <c r="P100" i="1" s="1"/>
  <c r="Q100" i="1" s="1"/>
  <c r="E99" i="1"/>
  <c r="M99" i="1" s="1"/>
  <c r="S97" i="1"/>
  <c r="P97" i="1" s="1"/>
  <c r="Q97" i="1" s="1"/>
  <c r="I97" i="1"/>
  <c r="I99" i="1" l="1"/>
  <c r="M101" i="1"/>
  <c r="Q101" i="1"/>
  <c r="Q99" i="1"/>
  <c r="N188" i="1" l="1"/>
  <c r="L188" i="1" s="1"/>
  <c r="J188" i="1"/>
  <c r="F188" i="1"/>
  <c r="F184" i="1" s="1"/>
  <c r="H188" i="1" l="1"/>
  <c r="J184" i="1"/>
  <c r="H184" i="1" s="1"/>
  <c r="E184" i="1"/>
  <c r="R188" i="1"/>
  <c r="G189" i="1"/>
  <c r="G188" i="1" s="1"/>
  <c r="C189" i="1"/>
  <c r="B189" i="1"/>
  <c r="R189" i="1"/>
  <c r="L189" i="1"/>
  <c r="H189" i="1"/>
  <c r="R182" i="1"/>
  <c r="R183" i="1"/>
  <c r="R181" i="1"/>
  <c r="R184" i="1" l="1"/>
  <c r="P184" i="1" s="1"/>
  <c r="Q184" i="1" s="1"/>
  <c r="I184" i="1"/>
  <c r="M184" i="1"/>
  <c r="S189" i="1"/>
  <c r="P189" i="1" s="1"/>
  <c r="E189" i="1"/>
  <c r="I189" i="1" s="1"/>
  <c r="E188" i="1" l="1"/>
  <c r="I188" i="1" s="1"/>
  <c r="S188" i="1"/>
  <c r="P188" i="1" s="1"/>
  <c r="Q189" i="1"/>
  <c r="M189" i="1"/>
  <c r="Q188" i="1" l="1"/>
  <c r="N169" i="1" l="1"/>
  <c r="O169" i="1"/>
  <c r="J169" i="1"/>
  <c r="K169" i="1"/>
  <c r="K135" i="1" s="1"/>
  <c r="F169" i="1"/>
  <c r="B170" i="1"/>
  <c r="G169" i="1"/>
  <c r="C170" i="1"/>
  <c r="R170" i="1"/>
  <c r="L170" i="1"/>
  <c r="H170" i="1"/>
  <c r="S169" i="1" l="1"/>
  <c r="H169" i="1"/>
  <c r="L169" i="1"/>
  <c r="S170" i="1"/>
  <c r="P170" i="1" s="1"/>
  <c r="E170" i="1"/>
  <c r="I170" i="1" s="1"/>
  <c r="R169" i="1"/>
  <c r="E169" i="1"/>
  <c r="M169" i="1" s="1"/>
  <c r="N118" i="1"/>
  <c r="J118" i="1"/>
  <c r="B119" i="1"/>
  <c r="C119" i="1"/>
  <c r="G119" i="1"/>
  <c r="G118" i="1" s="1"/>
  <c r="F118" i="1"/>
  <c r="R119" i="1"/>
  <c r="L119" i="1"/>
  <c r="H119" i="1"/>
  <c r="B96" i="1"/>
  <c r="B95" i="1"/>
  <c r="B94" i="1"/>
  <c r="G96" i="1"/>
  <c r="E96" i="1" s="1"/>
  <c r="G95" i="1"/>
  <c r="E95" i="1" s="1"/>
  <c r="G94" i="1"/>
  <c r="E94" i="1" s="1"/>
  <c r="C96" i="1"/>
  <c r="C95" i="1"/>
  <c r="C94" i="1"/>
  <c r="H96" i="1"/>
  <c r="L96" i="1"/>
  <c r="R96" i="1"/>
  <c r="H95" i="1"/>
  <c r="L95" i="1"/>
  <c r="R95" i="1"/>
  <c r="H94" i="1"/>
  <c r="L94" i="1"/>
  <c r="R94" i="1"/>
  <c r="N79" i="1"/>
  <c r="J79" i="1"/>
  <c r="F79" i="1"/>
  <c r="B85" i="1"/>
  <c r="G85" i="1"/>
  <c r="E85" i="1" s="1"/>
  <c r="C85" i="1"/>
  <c r="H85" i="1"/>
  <c r="L85" i="1"/>
  <c r="R85" i="1"/>
  <c r="B117" i="1"/>
  <c r="B116" i="1"/>
  <c r="N115" i="1"/>
  <c r="O115" i="1"/>
  <c r="J115" i="1"/>
  <c r="F115" i="1"/>
  <c r="G117" i="1"/>
  <c r="S117" i="1" s="1"/>
  <c r="G116" i="1"/>
  <c r="S116" i="1" s="1"/>
  <c r="C117" i="1"/>
  <c r="C116" i="1"/>
  <c r="H117" i="1"/>
  <c r="L117" i="1"/>
  <c r="R117" i="1"/>
  <c r="R116" i="1"/>
  <c r="L116" i="1"/>
  <c r="H116" i="1"/>
  <c r="G114" i="1"/>
  <c r="E114" i="1" s="1"/>
  <c r="G113" i="1"/>
  <c r="E113" i="1" s="1"/>
  <c r="E112" i="1"/>
  <c r="G111" i="1"/>
  <c r="S110" i="1"/>
  <c r="B114" i="1"/>
  <c r="B113" i="1"/>
  <c r="B112" i="1"/>
  <c r="B111" i="1"/>
  <c r="B110" i="1"/>
  <c r="C114" i="1"/>
  <c r="C110" i="1"/>
  <c r="N109" i="1"/>
  <c r="O109" i="1"/>
  <c r="J109" i="1"/>
  <c r="K109" i="1"/>
  <c r="F109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R110" i="1"/>
  <c r="L110" i="1"/>
  <c r="H110" i="1"/>
  <c r="P169" i="1" l="1"/>
  <c r="Q169" i="1" s="1"/>
  <c r="M170" i="1"/>
  <c r="M96" i="1"/>
  <c r="Q170" i="1"/>
  <c r="I169" i="1"/>
  <c r="S94" i="1"/>
  <c r="P94" i="1" s="1"/>
  <c r="Q94" i="1" s="1"/>
  <c r="I113" i="1"/>
  <c r="P117" i="1"/>
  <c r="M85" i="1"/>
  <c r="L118" i="1"/>
  <c r="R118" i="1"/>
  <c r="S118" i="1"/>
  <c r="H118" i="1"/>
  <c r="E119" i="1"/>
  <c r="I119" i="1" s="1"/>
  <c r="S119" i="1"/>
  <c r="P119" i="1" s="1"/>
  <c r="E118" i="1"/>
  <c r="E117" i="1"/>
  <c r="I117" i="1" s="1"/>
  <c r="S95" i="1"/>
  <c r="P95" i="1" s="1"/>
  <c r="Q95" i="1" s="1"/>
  <c r="S96" i="1"/>
  <c r="P96" i="1" s="1"/>
  <c r="Q96" i="1" s="1"/>
  <c r="I96" i="1"/>
  <c r="I95" i="1"/>
  <c r="M95" i="1"/>
  <c r="M94" i="1"/>
  <c r="I94" i="1"/>
  <c r="S85" i="1"/>
  <c r="P85" i="1" s="1"/>
  <c r="Q85" i="1" s="1"/>
  <c r="I85" i="1"/>
  <c r="G115" i="1"/>
  <c r="S115" i="1" s="1"/>
  <c r="H115" i="1"/>
  <c r="E116" i="1"/>
  <c r="I116" i="1" s="1"/>
  <c r="P116" i="1"/>
  <c r="R115" i="1"/>
  <c r="L115" i="1"/>
  <c r="M114" i="1"/>
  <c r="S114" i="1"/>
  <c r="P114" i="1" s="1"/>
  <c r="Q114" i="1" s="1"/>
  <c r="I114" i="1"/>
  <c r="S113" i="1"/>
  <c r="P113" i="1" s="1"/>
  <c r="Q113" i="1" s="1"/>
  <c r="M113" i="1"/>
  <c r="M112" i="1"/>
  <c r="I112" i="1"/>
  <c r="S112" i="1"/>
  <c r="P112" i="1" s="1"/>
  <c r="Q112" i="1" s="1"/>
  <c r="G109" i="1"/>
  <c r="S109" i="1" s="1"/>
  <c r="S111" i="1"/>
  <c r="P111" i="1" s="1"/>
  <c r="E111" i="1"/>
  <c r="M111" i="1" s="1"/>
  <c r="P110" i="1"/>
  <c r="L109" i="1"/>
  <c r="R109" i="1"/>
  <c r="H109" i="1"/>
  <c r="E110" i="1"/>
  <c r="I110" i="1" s="1"/>
  <c r="G164" i="1"/>
  <c r="E164" i="1" s="1"/>
  <c r="G163" i="1"/>
  <c r="S163" i="1" s="1"/>
  <c r="G162" i="1"/>
  <c r="N161" i="1"/>
  <c r="J161" i="1"/>
  <c r="B164" i="1"/>
  <c r="B163" i="1"/>
  <c r="B162" i="1"/>
  <c r="L163" i="1"/>
  <c r="R163" i="1"/>
  <c r="H164" i="1"/>
  <c r="L164" i="1"/>
  <c r="R164" i="1"/>
  <c r="R162" i="1"/>
  <c r="L162" i="1"/>
  <c r="H162" i="1"/>
  <c r="G161" i="1" l="1"/>
  <c r="S161" i="1"/>
  <c r="S162" i="1"/>
  <c r="P162" i="1" s="1"/>
  <c r="P163" i="1"/>
  <c r="Q119" i="1"/>
  <c r="M118" i="1"/>
  <c r="M119" i="1"/>
  <c r="M164" i="1"/>
  <c r="P118" i="1"/>
  <c r="Q118" i="1" s="1"/>
  <c r="I118" i="1"/>
  <c r="M117" i="1"/>
  <c r="Q117" i="1"/>
  <c r="M116" i="1"/>
  <c r="P115" i="1"/>
  <c r="E162" i="1"/>
  <c r="I162" i="1" s="1"/>
  <c r="E115" i="1"/>
  <c r="I115" i="1" s="1"/>
  <c r="Q116" i="1"/>
  <c r="I111" i="1"/>
  <c r="Q111" i="1"/>
  <c r="E109" i="1"/>
  <c r="M109" i="1" s="1"/>
  <c r="P109" i="1"/>
  <c r="Q110" i="1"/>
  <c r="M110" i="1"/>
  <c r="S164" i="1"/>
  <c r="P164" i="1" s="1"/>
  <c r="Q164" i="1" s="1"/>
  <c r="I164" i="1"/>
  <c r="E163" i="1"/>
  <c r="I163" i="1" s="1"/>
  <c r="H161" i="1"/>
  <c r="R161" i="1"/>
  <c r="L161" i="1"/>
  <c r="N121" i="1"/>
  <c r="O121" i="1"/>
  <c r="J121" i="1"/>
  <c r="F121" i="1"/>
  <c r="S124" i="1"/>
  <c r="B124" i="1"/>
  <c r="B123" i="1"/>
  <c r="B122" i="1"/>
  <c r="C124" i="1"/>
  <c r="C123" i="1"/>
  <c r="C122" i="1"/>
  <c r="E123" i="1"/>
  <c r="H123" i="1"/>
  <c r="L123" i="1"/>
  <c r="R123" i="1"/>
  <c r="S123" i="1"/>
  <c r="H124" i="1"/>
  <c r="L124" i="1"/>
  <c r="R124" i="1"/>
  <c r="R122" i="1"/>
  <c r="L122" i="1"/>
  <c r="H122" i="1"/>
  <c r="S122" i="1" l="1"/>
  <c r="G121" i="1"/>
  <c r="Q163" i="1"/>
  <c r="P124" i="1"/>
  <c r="P123" i="1"/>
  <c r="Q123" i="1" s="1"/>
  <c r="M123" i="1"/>
  <c r="M115" i="1"/>
  <c r="Q115" i="1"/>
  <c r="M162" i="1"/>
  <c r="Q162" i="1"/>
  <c r="Q109" i="1"/>
  <c r="I109" i="1"/>
  <c r="E161" i="1"/>
  <c r="M161" i="1" s="1"/>
  <c r="M163" i="1"/>
  <c r="P161" i="1"/>
  <c r="E124" i="1"/>
  <c r="M124" i="1" s="1"/>
  <c r="I123" i="1"/>
  <c r="E122" i="1"/>
  <c r="I122" i="1" s="1"/>
  <c r="L121" i="1"/>
  <c r="H121" i="1"/>
  <c r="P122" i="1"/>
  <c r="R121" i="1"/>
  <c r="G150" i="1"/>
  <c r="E150" i="1" s="1"/>
  <c r="B150" i="1"/>
  <c r="C150" i="1"/>
  <c r="G149" i="1"/>
  <c r="E149" i="1" s="1"/>
  <c r="G147" i="1"/>
  <c r="B149" i="1"/>
  <c r="B148" i="1"/>
  <c r="B147" i="1"/>
  <c r="C149" i="1"/>
  <c r="C147" i="1"/>
  <c r="E148" i="1"/>
  <c r="H148" i="1"/>
  <c r="L148" i="1"/>
  <c r="R148" i="1"/>
  <c r="S148" i="1"/>
  <c r="H149" i="1"/>
  <c r="L149" i="1"/>
  <c r="R149" i="1"/>
  <c r="H150" i="1"/>
  <c r="L150" i="1"/>
  <c r="R150" i="1"/>
  <c r="R147" i="1"/>
  <c r="L147" i="1"/>
  <c r="H147" i="1"/>
  <c r="G141" i="1"/>
  <c r="E141" i="1" s="1"/>
  <c r="E140" i="1"/>
  <c r="G139" i="1"/>
  <c r="S139" i="1" s="1"/>
  <c r="B141" i="1"/>
  <c r="B140" i="1"/>
  <c r="B139" i="1"/>
  <c r="C141" i="1"/>
  <c r="C140" i="1"/>
  <c r="C139" i="1"/>
  <c r="N138" i="1"/>
  <c r="N135" i="1" s="1"/>
  <c r="O138" i="1"/>
  <c r="O135" i="1" s="1"/>
  <c r="J138" i="1"/>
  <c r="J132" i="1" s="1"/>
  <c r="H132" i="1" s="1"/>
  <c r="K138" i="1"/>
  <c r="F138" i="1"/>
  <c r="F132" i="1" s="1"/>
  <c r="H140" i="1"/>
  <c r="L140" i="1"/>
  <c r="R140" i="1"/>
  <c r="H141" i="1"/>
  <c r="L141" i="1"/>
  <c r="R141" i="1"/>
  <c r="S141" i="1"/>
  <c r="R139" i="1"/>
  <c r="L139" i="1"/>
  <c r="H139" i="1"/>
  <c r="G146" i="1" l="1"/>
  <c r="R132" i="1"/>
  <c r="P132" i="1" s="1"/>
  <c r="E132" i="1"/>
  <c r="M132" i="1" s="1"/>
  <c r="E121" i="1"/>
  <c r="M121" i="1" s="1"/>
  <c r="I161" i="1"/>
  <c r="E147" i="1"/>
  <c r="I147" i="1" s="1"/>
  <c r="I124" i="1"/>
  <c r="M122" i="1"/>
  <c r="Q124" i="1"/>
  <c r="Q161" i="1"/>
  <c r="S121" i="1"/>
  <c r="P121" i="1" s="1"/>
  <c r="Q121" i="1" s="1"/>
  <c r="S150" i="1"/>
  <c r="P150" i="1" s="1"/>
  <c r="Q150" i="1" s="1"/>
  <c r="M148" i="1"/>
  <c r="Q122" i="1"/>
  <c r="S149" i="1"/>
  <c r="P149" i="1" s="1"/>
  <c r="Q149" i="1" s="1"/>
  <c r="S147" i="1"/>
  <c r="P147" i="1" s="1"/>
  <c r="M149" i="1"/>
  <c r="P148" i="1"/>
  <c r="Q148" i="1" s="1"/>
  <c r="I148" i="1"/>
  <c r="M150" i="1"/>
  <c r="I150" i="1"/>
  <c r="E139" i="1"/>
  <c r="I139" i="1" s="1"/>
  <c r="P141" i="1"/>
  <c r="Q141" i="1" s="1"/>
  <c r="I149" i="1"/>
  <c r="S140" i="1"/>
  <c r="P140" i="1" s="1"/>
  <c r="Q140" i="1" s="1"/>
  <c r="G138" i="1"/>
  <c r="E138" i="1" s="1"/>
  <c r="M141" i="1"/>
  <c r="I141" i="1"/>
  <c r="I140" i="1"/>
  <c r="M140" i="1"/>
  <c r="H138" i="1"/>
  <c r="R138" i="1"/>
  <c r="P139" i="1"/>
  <c r="L138" i="1"/>
  <c r="N180" i="1"/>
  <c r="O180" i="1"/>
  <c r="N176" i="1"/>
  <c r="O176" i="1"/>
  <c r="J180" i="1"/>
  <c r="J175" i="1" s="1"/>
  <c r="K180" i="1"/>
  <c r="K175" i="1" s="1"/>
  <c r="F180" i="1"/>
  <c r="F175" i="1" s="1"/>
  <c r="B183" i="1"/>
  <c r="B182" i="1"/>
  <c r="B181" i="1"/>
  <c r="C183" i="1"/>
  <c r="C182" i="1"/>
  <c r="C181" i="1"/>
  <c r="H182" i="1"/>
  <c r="L182" i="1"/>
  <c r="H183" i="1"/>
  <c r="L183" i="1"/>
  <c r="L181" i="1"/>
  <c r="H181" i="1"/>
  <c r="I121" i="1" l="1"/>
  <c r="I132" i="1"/>
  <c r="Q132" i="1"/>
  <c r="O175" i="1"/>
  <c r="M147" i="1"/>
  <c r="Q147" i="1"/>
  <c r="H180" i="1"/>
  <c r="E182" i="1"/>
  <c r="I182" i="1" s="1"/>
  <c r="S182" i="1"/>
  <c r="P182" i="1" s="1"/>
  <c r="E183" i="1"/>
  <c r="M183" i="1" s="1"/>
  <c r="S183" i="1"/>
  <c r="P183" i="1" s="1"/>
  <c r="E181" i="1"/>
  <c r="M181" i="1" s="1"/>
  <c r="S181" i="1"/>
  <c r="P181" i="1" s="1"/>
  <c r="Q139" i="1"/>
  <c r="M139" i="1"/>
  <c r="L180" i="1"/>
  <c r="S138" i="1"/>
  <c r="P138" i="1" s="1"/>
  <c r="Q138" i="1" s="1"/>
  <c r="L176" i="1"/>
  <c r="M138" i="1"/>
  <c r="I138" i="1"/>
  <c r="G180" i="1"/>
  <c r="G175" i="1" s="1"/>
  <c r="R180" i="1"/>
  <c r="N175" i="1"/>
  <c r="G136" i="1"/>
  <c r="G135" i="1" s="1"/>
  <c r="R136" i="1"/>
  <c r="L136" i="1"/>
  <c r="H136" i="1"/>
  <c r="B136" i="1"/>
  <c r="C136" i="1"/>
  <c r="I183" i="1" l="1"/>
  <c r="I181" i="1"/>
  <c r="Q181" i="1"/>
  <c r="Q182" i="1"/>
  <c r="M182" i="1"/>
  <c r="Q183" i="1"/>
  <c r="E136" i="1"/>
  <c r="I136" i="1" s="1"/>
  <c r="L135" i="1"/>
  <c r="E180" i="1"/>
  <c r="S180" i="1"/>
  <c r="P180" i="1" s="1"/>
  <c r="S136" i="1"/>
  <c r="P136" i="1" s="1"/>
  <c r="Q136" i="1" s="1"/>
  <c r="S135" i="1"/>
  <c r="R135" i="1"/>
  <c r="H135" i="1"/>
  <c r="E135" i="1"/>
  <c r="F43" i="1"/>
  <c r="G90" i="1"/>
  <c r="S90" i="1" s="1"/>
  <c r="B90" i="1"/>
  <c r="C90" i="1"/>
  <c r="N89" i="1"/>
  <c r="O89" i="1"/>
  <c r="O42" i="1" s="1"/>
  <c r="J89" i="1"/>
  <c r="K89" i="1"/>
  <c r="K42" i="1" s="1"/>
  <c r="F89" i="1"/>
  <c r="R90" i="1"/>
  <c r="L90" i="1"/>
  <c r="H90" i="1"/>
  <c r="M136" i="1" l="1"/>
  <c r="Q180" i="1"/>
  <c r="M180" i="1"/>
  <c r="I180" i="1"/>
  <c r="P135" i="1"/>
  <c r="Q135" i="1" s="1"/>
  <c r="I135" i="1"/>
  <c r="G89" i="1"/>
  <c r="E89" i="1" s="1"/>
  <c r="E90" i="1"/>
  <c r="I90" i="1" s="1"/>
  <c r="H89" i="1"/>
  <c r="P90" i="1"/>
  <c r="R89" i="1"/>
  <c r="L89" i="1"/>
  <c r="Q90" i="1" l="1"/>
  <c r="S89" i="1"/>
  <c r="P89" i="1" s="1"/>
  <c r="Q89" i="1" s="1"/>
  <c r="M90" i="1"/>
  <c r="I89" i="1"/>
  <c r="M89" i="1"/>
  <c r="L175" i="1" l="1"/>
  <c r="J176" i="1"/>
  <c r="H146" i="1" s="1"/>
  <c r="K176" i="1"/>
  <c r="G179" i="1"/>
  <c r="E179" i="1" s="1"/>
  <c r="F178" i="1"/>
  <c r="R178" i="1" s="1"/>
  <c r="F177" i="1"/>
  <c r="C179" i="1"/>
  <c r="C178" i="1"/>
  <c r="C177" i="1"/>
  <c r="B179" i="1"/>
  <c r="B178" i="1"/>
  <c r="B177" i="1"/>
  <c r="H178" i="1"/>
  <c r="L178" i="1"/>
  <c r="S178" i="1"/>
  <c r="H179" i="1"/>
  <c r="L179" i="1"/>
  <c r="R179" i="1"/>
  <c r="L177" i="1"/>
  <c r="H177" i="1"/>
  <c r="S177" i="1"/>
  <c r="E178" i="1" l="1"/>
  <c r="M178" i="1" s="1"/>
  <c r="H176" i="1"/>
  <c r="P178" i="1"/>
  <c r="G176" i="1"/>
  <c r="F176" i="1"/>
  <c r="E177" i="1"/>
  <c r="M177" i="1" s="1"/>
  <c r="R177" i="1"/>
  <c r="P177" i="1" s="1"/>
  <c r="H175" i="1"/>
  <c r="I179" i="1"/>
  <c r="M179" i="1"/>
  <c r="S179" i="1"/>
  <c r="P179" i="1" s="1"/>
  <c r="Q179" i="1" s="1"/>
  <c r="G93" i="1"/>
  <c r="E93" i="1" s="1"/>
  <c r="G92" i="1"/>
  <c r="C93" i="1"/>
  <c r="C92" i="1"/>
  <c r="B93" i="1"/>
  <c r="B92" i="1"/>
  <c r="H93" i="1"/>
  <c r="L93" i="1"/>
  <c r="R93" i="1"/>
  <c r="R92" i="1"/>
  <c r="L92" i="1"/>
  <c r="H92" i="1"/>
  <c r="E84" i="1"/>
  <c r="E83" i="1"/>
  <c r="E82" i="1"/>
  <c r="G81" i="1"/>
  <c r="E81" i="1" s="1"/>
  <c r="G80" i="1"/>
  <c r="C84" i="1"/>
  <c r="C83" i="1"/>
  <c r="C82" i="1"/>
  <c r="C81" i="1"/>
  <c r="C80" i="1"/>
  <c r="L79" i="1"/>
  <c r="B84" i="1"/>
  <c r="B83" i="1"/>
  <c r="B82" i="1"/>
  <c r="B81" i="1"/>
  <c r="B80" i="1"/>
  <c r="H81" i="1"/>
  <c r="L81" i="1"/>
  <c r="R81" i="1"/>
  <c r="H82" i="1"/>
  <c r="L82" i="1"/>
  <c r="R82" i="1"/>
  <c r="H83" i="1"/>
  <c r="L83" i="1"/>
  <c r="R83" i="1"/>
  <c r="H84" i="1"/>
  <c r="L84" i="1"/>
  <c r="R84" i="1"/>
  <c r="R80" i="1"/>
  <c r="L80" i="1"/>
  <c r="H80" i="1"/>
  <c r="G77" i="1"/>
  <c r="E77" i="1" s="1"/>
  <c r="G76" i="1"/>
  <c r="E76" i="1" s="1"/>
  <c r="E75" i="1"/>
  <c r="E74" i="1"/>
  <c r="G73" i="1"/>
  <c r="E73" i="1" s="1"/>
  <c r="G72" i="1"/>
  <c r="E72" i="1" s="1"/>
  <c r="G71" i="1"/>
  <c r="S71" i="1" s="1"/>
  <c r="S70" i="1"/>
  <c r="G69" i="1"/>
  <c r="E69" i="1" s="1"/>
  <c r="G68" i="1"/>
  <c r="E68" i="1" s="1"/>
  <c r="G67" i="1"/>
  <c r="E67" i="1" s="1"/>
  <c r="G66" i="1"/>
  <c r="E66" i="1" s="1"/>
  <c r="E65" i="1"/>
  <c r="E64" i="1"/>
  <c r="G63" i="1"/>
  <c r="E63" i="1" s="1"/>
  <c r="S62" i="1"/>
  <c r="G61" i="1"/>
  <c r="E61" i="1" s="1"/>
  <c r="E60" i="1"/>
  <c r="N58" i="1"/>
  <c r="J58" i="1"/>
  <c r="F58" i="1"/>
  <c r="F42" i="1" s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H60" i="1"/>
  <c r="L60" i="1"/>
  <c r="R60" i="1"/>
  <c r="H61" i="1"/>
  <c r="L61" i="1"/>
  <c r="R61" i="1"/>
  <c r="H62" i="1"/>
  <c r="L62" i="1"/>
  <c r="R62" i="1"/>
  <c r="H63" i="1"/>
  <c r="L63" i="1"/>
  <c r="R63" i="1"/>
  <c r="H64" i="1"/>
  <c r="L64" i="1"/>
  <c r="R64" i="1"/>
  <c r="H65" i="1"/>
  <c r="L65" i="1"/>
  <c r="R65" i="1"/>
  <c r="H66" i="1"/>
  <c r="L66" i="1"/>
  <c r="R66" i="1"/>
  <c r="H67" i="1"/>
  <c r="L67" i="1"/>
  <c r="R67" i="1"/>
  <c r="S67" i="1"/>
  <c r="H68" i="1"/>
  <c r="L68" i="1"/>
  <c r="R68" i="1"/>
  <c r="H69" i="1"/>
  <c r="L69" i="1"/>
  <c r="R69" i="1"/>
  <c r="H70" i="1"/>
  <c r="L70" i="1"/>
  <c r="R70" i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R59" i="1"/>
  <c r="L59" i="1"/>
  <c r="H59" i="1"/>
  <c r="N43" i="1"/>
  <c r="J43" i="1"/>
  <c r="J42" i="1" s="1"/>
  <c r="G54" i="1"/>
  <c r="E54" i="1" s="1"/>
  <c r="G53" i="1"/>
  <c r="E53" i="1" s="1"/>
  <c r="G52" i="1"/>
  <c r="E52" i="1" s="1"/>
  <c r="S51" i="1"/>
  <c r="G50" i="1"/>
  <c r="E50" i="1" s="1"/>
  <c r="G49" i="1"/>
  <c r="E49" i="1" s="1"/>
  <c r="G48" i="1"/>
  <c r="E48" i="1" s="1"/>
  <c r="G47" i="1"/>
  <c r="S47" i="1" s="1"/>
  <c r="E46" i="1"/>
  <c r="G45" i="1"/>
  <c r="G44" i="1"/>
  <c r="C54" i="1"/>
  <c r="C53" i="1"/>
  <c r="C52" i="1"/>
  <c r="C51" i="1"/>
  <c r="C50" i="1"/>
  <c r="C49" i="1"/>
  <c r="C48" i="1"/>
  <c r="C47" i="1"/>
  <c r="C46" i="1"/>
  <c r="C45" i="1"/>
  <c r="C44" i="1"/>
  <c r="B54" i="1"/>
  <c r="B53" i="1"/>
  <c r="B52" i="1"/>
  <c r="B51" i="1"/>
  <c r="B50" i="1"/>
  <c r="B49" i="1"/>
  <c r="B48" i="1"/>
  <c r="B47" i="1"/>
  <c r="B46" i="1"/>
  <c r="B45" i="1"/>
  <c r="B44" i="1"/>
  <c r="E45" i="1"/>
  <c r="H45" i="1"/>
  <c r="L45" i="1"/>
  <c r="R45" i="1"/>
  <c r="S45" i="1"/>
  <c r="H46" i="1"/>
  <c r="L46" i="1"/>
  <c r="R46" i="1"/>
  <c r="H47" i="1"/>
  <c r="L47" i="1"/>
  <c r="R47" i="1"/>
  <c r="H48" i="1"/>
  <c r="L48" i="1"/>
  <c r="R48" i="1"/>
  <c r="H49" i="1"/>
  <c r="L49" i="1"/>
  <c r="R49" i="1"/>
  <c r="H50" i="1"/>
  <c r="L50" i="1"/>
  <c r="R50" i="1"/>
  <c r="H51" i="1"/>
  <c r="L51" i="1"/>
  <c r="R51" i="1"/>
  <c r="H52" i="1"/>
  <c r="L52" i="1"/>
  <c r="R52" i="1"/>
  <c r="H53" i="1"/>
  <c r="L53" i="1"/>
  <c r="R53" i="1"/>
  <c r="H54" i="1"/>
  <c r="L54" i="1"/>
  <c r="R54" i="1"/>
  <c r="R44" i="1"/>
  <c r="L44" i="1"/>
  <c r="H44" i="1"/>
  <c r="K37" i="1"/>
  <c r="K33" i="1"/>
  <c r="K26" i="1"/>
  <c r="K17" i="1"/>
  <c r="I178" i="1" l="1"/>
  <c r="G43" i="1"/>
  <c r="G58" i="1"/>
  <c r="S58" i="1" s="1"/>
  <c r="G91" i="1"/>
  <c r="S91" i="1" s="1"/>
  <c r="G79" i="1"/>
  <c r="E59" i="1"/>
  <c r="I59" i="1" s="1"/>
  <c r="S44" i="1"/>
  <c r="N42" i="1"/>
  <c r="L42" i="1" s="1"/>
  <c r="S92" i="1"/>
  <c r="P92" i="1" s="1"/>
  <c r="S80" i="1"/>
  <c r="P80" i="1" s="1"/>
  <c r="Q178" i="1"/>
  <c r="I83" i="1"/>
  <c r="L91" i="1"/>
  <c r="S59" i="1"/>
  <c r="P59" i="1" s="1"/>
  <c r="E176" i="1"/>
  <c r="I176" i="1" s="1"/>
  <c r="S146" i="1"/>
  <c r="S176" i="1"/>
  <c r="R176" i="1"/>
  <c r="M82" i="1"/>
  <c r="Q177" i="1"/>
  <c r="I177" i="1"/>
  <c r="S93" i="1"/>
  <c r="P93" i="1" s="1"/>
  <c r="Q93" i="1" s="1"/>
  <c r="S75" i="1"/>
  <c r="P75" i="1" s="1"/>
  <c r="Q75" i="1" s="1"/>
  <c r="I93" i="1"/>
  <c r="S76" i="1"/>
  <c r="P76" i="1" s="1"/>
  <c r="Q76" i="1" s="1"/>
  <c r="S73" i="1"/>
  <c r="P73" i="1" s="1"/>
  <c r="Q73" i="1" s="1"/>
  <c r="S72" i="1"/>
  <c r="P72" i="1" s="1"/>
  <c r="Q72" i="1" s="1"/>
  <c r="S64" i="1"/>
  <c r="P64" i="1" s="1"/>
  <c r="Q64" i="1" s="1"/>
  <c r="S68" i="1"/>
  <c r="P68" i="1" s="1"/>
  <c r="Q68" i="1" s="1"/>
  <c r="S60" i="1"/>
  <c r="P60" i="1" s="1"/>
  <c r="Q60" i="1" s="1"/>
  <c r="S84" i="1"/>
  <c r="P84" i="1" s="1"/>
  <c r="Q84" i="1" s="1"/>
  <c r="S83" i="1"/>
  <c r="P83" i="1" s="1"/>
  <c r="Q83" i="1" s="1"/>
  <c r="M93" i="1"/>
  <c r="P45" i="1"/>
  <c r="Q45" i="1" s="1"/>
  <c r="P67" i="1"/>
  <c r="Q67" i="1" s="1"/>
  <c r="I74" i="1"/>
  <c r="I84" i="1"/>
  <c r="R91" i="1"/>
  <c r="H91" i="1"/>
  <c r="E92" i="1"/>
  <c r="I92" i="1" s="1"/>
  <c r="I82" i="1"/>
  <c r="I81" i="1"/>
  <c r="M81" i="1"/>
  <c r="S81" i="1"/>
  <c r="P81" i="1" s="1"/>
  <c r="Q81" i="1" s="1"/>
  <c r="M84" i="1"/>
  <c r="M83" i="1"/>
  <c r="S82" i="1"/>
  <c r="P82" i="1" s="1"/>
  <c r="Q82" i="1" s="1"/>
  <c r="E80" i="1"/>
  <c r="R79" i="1"/>
  <c r="E62" i="1"/>
  <c r="I62" i="1" s="1"/>
  <c r="M60" i="1"/>
  <c r="E47" i="1"/>
  <c r="I47" i="1" s="1"/>
  <c r="S74" i="1"/>
  <c r="P74" i="1" s="1"/>
  <c r="Q74" i="1" s="1"/>
  <c r="M53" i="1"/>
  <c r="M76" i="1"/>
  <c r="S69" i="1"/>
  <c r="P69" i="1" s="1"/>
  <c r="Q69" i="1" s="1"/>
  <c r="M64" i="1"/>
  <c r="M72" i="1"/>
  <c r="H79" i="1"/>
  <c r="M68" i="1"/>
  <c r="I66" i="1"/>
  <c r="P71" i="1"/>
  <c r="E70" i="1"/>
  <c r="I70" i="1" s="1"/>
  <c r="M77" i="1"/>
  <c r="S77" i="1"/>
  <c r="P77" i="1" s="1"/>
  <c r="Q77" i="1" s="1"/>
  <c r="S65" i="1"/>
  <c r="P65" i="1" s="1"/>
  <c r="Q65" i="1" s="1"/>
  <c r="S61" i="1"/>
  <c r="P61" i="1" s="1"/>
  <c r="Q61" i="1" s="1"/>
  <c r="E71" i="1"/>
  <c r="S63" i="1"/>
  <c r="P63" i="1" s="1"/>
  <c r="Q63" i="1" s="1"/>
  <c r="I60" i="1"/>
  <c r="I77" i="1"/>
  <c r="I76" i="1"/>
  <c r="M75" i="1"/>
  <c r="I75" i="1"/>
  <c r="M74" i="1"/>
  <c r="M73" i="1"/>
  <c r="I73" i="1"/>
  <c r="I72" i="1"/>
  <c r="P70" i="1"/>
  <c r="I69" i="1"/>
  <c r="M69" i="1"/>
  <c r="I68" i="1"/>
  <c r="I67" i="1"/>
  <c r="M67" i="1"/>
  <c r="S66" i="1"/>
  <c r="P66" i="1" s="1"/>
  <c r="Q66" i="1" s="1"/>
  <c r="M66" i="1"/>
  <c r="M65" i="1"/>
  <c r="I65" i="1"/>
  <c r="I64" i="1"/>
  <c r="M63" i="1"/>
  <c r="I63" i="1"/>
  <c r="P62" i="1"/>
  <c r="M61" i="1"/>
  <c r="I61" i="1"/>
  <c r="M59" i="1"/>
  <c r="R58" i="1"/>
  <c r="S52" i="1"/>
  <c r="P52" i="1" s="1"/>
  <c r="Q52" i="1" s="1"/>
  <c r="E51" i="1"/>
  <c r="M51" i="1" s="1"/>
  <c r="L58" i="1"/>
  <c r="I45" i="1"/>
  <c r="S50" i="1"/>
  <c r="P50" i="1" s="1"/>
  <c r="Q50" i="1" s="1"/>
  <c r="S46" i="1"/>
  <c r="P46" i="1" s="1"/>
  <c r="Q46" i="1" s="1"/>
  <c r="M52" i="1"/>
  <c r="S53" i="1"/>
  <c r="P53" i="1" s="1"/>
  <c r="Q53" i="1" s="1"/>
  <c r="S49" i="1"/>
  <c r="P49" i="1" s="1"/>
  <c r="Q49" i="1" s="1"/>
  <c r="S48" i="1"/>
  <c r="P48" i="1" s="1"/>
  <c r="Q48" i="1" s="1"/>
  <c r="H58" i="1"/>
  <c r="M45" i="1"/>
  <c r="S54" i="1"/>
  <c r="P54" i="1" s="1"/>
  <c r="Q54" i="1" s="1"/>
  <c r="M54" i="1"/>
  <c r="I54" i="1"/>
  <c r="I53" i="1"/>
  <c r="I52" i="1"/>
  <c r="P51" i="1"/>
  <c r="I50" i="1"/>
  <c r="M50" i="1"/>
  <c r="I49" i="1"/>
  <c r="M49" i="1"/>
  <c r="M48" i="1"/>
  <c r="I48" i="1"/>
  <c r="P47" i="1"/>
  <c r="I46" i="1"/>
  <c r="M46" i="1"/>
  <c r="P44" i="1"/>
  <c r="L43" i="1"/>
  <c r="H43" i="1"/>
  <c r="E44" i="1"/>
  <c r="R43" i="1"/>
  <c r="Q59" i="1" l="1"/>
  <c r="G42" i="1"/>
  <c r="R42" i="1"/>
  <c r="E79" i="1"/>
  <c r="I79" i="1" s="1"/>
  <c r="H42" i="1"/>
  <c r="P176" i="1"/>
  <c r="Q176" i="1" s="1"/>
  <c r="M176" i="1"/>
  <c r="R175" i="1"/>
  <c r="E175" i="1"/>
  <c r="I175" i="1" s="1"/>
  <c r="S175" i="1"/>
  <c r="S79" i="1"/>
  <c r="P79" i="1" s="1"/>
  <c r="M92" i="1"/>
  <c r="Q92" i="1"/>
  <c r="Q47" i="1"/>
  <c r="M47" i="1"/>
  <c r="E91" i="1"/>
  <c r="M91" i="1" s="1"/>
  <c r="P91" i="1"/>
  <c r="Q62" i="1"/>
  <c r="Q80" i="1"/>
  <c r="M80" i="1"/>
  <c r="I80" i="1"/>
  <c r="Q70" i="1"/>
  <c r="M62" i="1"/>
  <c r="M70" i="1"/>
  <c r="Q71" i="1"/>
  <c r="I71" i="1"/>
  <c r="M71" i="1"/>
  <c r="P58" i="1"/>
  <c r="Q51" i="1"/>
  <c r="I51" i="1"/>
  <c r="E58" i="1"/>
  <c r="I58" i="1" s="1"/>
  <c r="M44" i="1"/>
  <c r="I44" i="1"/>
  <c r="S43" i="1"/>
  <c r="P43" i="1" s="1"/>
  <c r="E43" i="1"/>
  <c r="M43" i="1" s="1"/>
  <c r="Q44" i="1"/>
  <c r="J39" i="1"/>
  <c r="N39" i="1"/>
  <c r="N37" i="1"/>
  <c r="O37" i="1"/>
  <c r="J37" i="1"/>
  <c r="F37" i="1"/>
  <c r="G40" i="1"/>
  <c r="G39" i="1" s="1"/>
  <c r="R40" i="1"/>
  <c r="L40" i="1"/>
  <c r="C40" i="1"/>
  <c r="B40" i="1"/>
  <c r="F39" i="1"/>
  <c r="G38" i="1"/>
  <c r="G37" i="1" s="1"/>
  <c r="C38" i="1"/>
  <c r="B38" i="1"/>
  <c r="Q79" i="1" l="1"/>
  <c r="M79" i="1"/>
  <c r="E146" i="1"/>
  <c r="P175" i="1"/>
  <c r="Q175" i="1" s="1"/>
  <c r="Q91" i="1"/>
  <c r="I91" i="1"/>
  <c r="I43" i="1"/>
  <c r="L39" i="1"/>
  <c r="Q43" i="1"/>
  <c r="M58" i="1"/>
  <c r="Q58" i="1"/>
  <c r="E42" i="1"/>
  <c r="I42" i="1" s="1"/>
  <c r="S42" i="1"/>
  <c r="P42" i="1" s="1"/>
  <c r="R39" i="1"/>
  <c r="E40" i="1"/>
  <c r="R38" i="1"/>
  <c r="L38" i="1"/>
  <c r="H38" i="1"/>
  <c r="S38" i="1"/>
  <c r="N33" i="1"/>
  <c r="O33" i="1"/>
  <c r="J33" i="1"/>
  <c r="F33" i="1"/>
  <c r="G36" i="1"/>
  <c r="S36" i="1" s="1"/>
  <c r="G35" i="1"/>
  <c r="E35" i="1" s="1"/>
  <c r="G34" i="1"/>
  <c r="C36" i="1"/>
  <c r="C35" i="1"/>
  <c r="C34" i="1"/>
  <c r="H36" i="1"/>
  <c r="R36" i="1"/>
  <c r="B36" i="1"/>
  <c r="B35" i="1"/>
  <c r="B34" i="1"/>
  <c r="H35" i="1"/>
  <c r="L35" i="1"/>
  <c r="R35" i="1"/>
  <c r="R34" i="1"/>
  <c r="L34" i="1"/>
  <c r="H34" i="1"/>
  <c r="I146" i="1" l="1"/>
  <c r="Q42" i="1"/>
  <c r="M35" i="1"/>
  <c r="S35" i="1"/>
  <c r="P35" i="1" s="1"/>
  <c r="Q35" i="1" s="1"/>
  <c r="E36" i="1"/>
  <c r="M36" i="1" s="1"/>
  <c r="M40" i="1"/>
  <c r="E39" i="1"/>
  <c r="S34" i="1"/>
  <c r="P34" i="1" s="1"/>
  <c r="G33" i="1"/>
  <c r="S33" i="1" s="1"/>
  <c r="I35" i="1"/>
  <c r="P36" i="1"/>
  <c r="P38" i="1"/>
  <c r="R37" i="1"/>
  <c r="L37" i="1"/>
  <c r="H37" i="1"/>
  <c r="E38" i="1"/>
  <c r="I38" i="1" s="1"/>
  <c r="R33" i="1"/>
  <c r="L33" i="1"/>
  <c r="H33" i="1"/>
  <c r="E34" i="1"/>
  <c r="M34" i="1" s="1"/>
  <c r="R28" i="1"/>
  <c r="R29" i="1"/>
  <c r="R30" i="1"/>
  <c r="R31" i="1"/>
  <c r="R32" i="1"/>
  <c r="R27" i="1"/>
  <c r="L27" i="1"/>
  <c r="H27" i="1"/>
  <c r="G32" i="1"/>
  <c r="E32" i="1" s="1"/>
  <c r="S31" i="1"/>
  <c r="S30" i="1"/>
  <c r="P30" i="1" s="1"/>
  <c r="S29" i="1"/>
  <c r="S28" i="1"/>
  <c r="P28" i="1" s="1"/>
  <c r="C32" i="1"/>
  <c r="C31" i="1"/>
  <c r="C30" i="1"/>
  <c r="C29" i="1"/>
  <c r="C28" i="1"/>
  <c r="C27" i="1"/>
  <c r="H32" i="1"/>
  <c r="L32" i="1"/>
  <c r="B32" i="1"/>
  <c r="B31" i="1"/>
  <c r="B30" i="1"/>
  <c r="B29" i="1"/>
  <c r="B28" i="1"/>
  <c r="B27" i="1"/>
  <c r="H28" i="1"/>
  <c r="L28" i="1"/>
  <c r="H29" i="1"/>
  <c r="L29" i="1"/>
  <c r="H30" i="1"/>
  <c r="L30" i="1"/>
  <c r="H31" i="1"/>
  <c r="L31" i="1"/>
  <c r="O26" i="1"/>
  <c r="O17" i="1" s="1"/>
  <c r="N26" i="1"/>
  <c r="J26" i="1"/>
  <c r="J17" i="1" s="1"/>
  <c r="F26" i="1"/>
  <c r="F17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G18" i="1"/>
  <c r="S18" i="1" s="1"/>
  <c r="C25" i="1"/>
  <c r="C24" i="1"/>
  <c r="C23" i="1"/>
  <c r="C22" i="1"/>
  <c r="C21" i="1"/>
  <c r="C20" i="1"/>
  <c r="C19" i="1"/>
  <c r="C18" i="1"/>
  <c r="B25" i="1"/>
  <c r="B24" i="1"/>
  <c r="B23" i="1"/>
  <c r="B22" i="1"/>
  <c r="B21" i="1"/>
  <c r="B20" i="1"/>
  <c r="B19" i="1"/>
  <c r="B18" i="1"/>
  <c r="H24" i="1"/>
  <c r="L24" i="1"/>
  <c r="R24" i="1"/>
  <c r="H25" i="1"/>
  <c r="L25" i="1"/>
  <c r="R25" i="1"/>
  <c r="E19" i="1"/>
  <c r="H19" i="1"/>
  <c r="L19" i="1"/>
  <c r="R19" i="1"/>
  <c r="S19" i="1"/>
  <c r="H20" i="1"/>
  <c r="L20" i="1"/>
  <c r="R20" i="1"/>
  <c r="H21" i="1"/>
  <c r="L21" i="1"/>
  <c r="R21" i="1"/>
  <c r="H22" i="1"/>
  <c r="L22" i="1"/>
  <c r="R22" i="1"/>
  <c r="H23" i="1"/>
  <c r="L23" i="1"/>
  <c r="R23" i="1"/>
  <c r="R18" i="1"/>
  <c r="L18" i="1"/>
  <c r="H18" i="1"/>
  <c r="N6" i="1"/>
  <c r="O6" i="1"/>
  <c r="J6" i="1"/>
  <c r="F6" i="1"/>
  <c r="E14" i="1"/>
  <c r="G13" i="1"/>
  <c r="E13" i="1" s="1"/>
  <c r="G12" i="1"/>
  <c r="E12" i="1" s="1"/>
  <c r="E11" i="1"/>
  <c r="E10" i="1"/>
  <c r="G9" i="1"/>
  <c r="E9" i="1" s="1"/>
  <c r="G8" i="1"/>
  <c r="E8" i="1" s="1"/>
  <c r="H8" i="1"/>
  <c r="L8" i="1"/>
  <c r="R8" i="1"/>
  <c r="H9" i="1"/>
  <c r="L9" i="1"/>
  <c r="R9" i="1"/>
  <c r="H10" i="1"/>
  <c r="L10" i="1"/>
  <c r="R10" i="1"/>
  <c r="L11" i="1"/>
  <c r="R11" i="1"/>
  <c r="H12" i="1"/>
  <c r="L12" i="1"/>
  <c r="R12" i="1"/>
  <c r="H13" i="1"/>
  <c r="L13" i="1"/>
  <c r="R13" i="1"/>
  <c r="H14" i="1"/>
  <c r="L14" i="1"/>
  <c r="R14" i="1"/>
  <c r="H15" i="1"/>
  <c r="L15" i="1"/>
  <c r="R15" i="1"/>
  <c r="C15" i="1"/>
  <c r="C14" i="1"/>
  <c r="C13" i="1"/>
  <c r="C12" i="1"/>
  <c r="C11" i="1"/>
  <c r="C10" i="1"/>
  <c r="C9" i="1"/>
  <c r="C8" i="1"/>
  <c r="C7" i="1"/>
  <c r="B15" i="1"/>
  <c r="B14" i="1"/>
  <c r="B13" i="1"/>
  <c r="B12" i="1"/>
  <c r="B11" i="1"/>
  <c r="B10" i="1"/>
  <c r="B9" i="1"/>
  <c r="B8" i="1"/>
  <c r="B7" i="1"/>
  <c r="F5" i="1" l="1"/>
  <c r="F4" i="1" s="1"/>
  <c r="E15" i="1"/>
  <c r="I15" i="1" s="1"/>
  <c r="G6" i="1"/>
  <c r="S6" i="1" s="1"/>
  <c r="Q36" i="1"/>
  <c r="E33" i="1"/>
  <c r="M33" i="1" s="1"/>
  <c r="O5" i="1"/>
  <c r="O4" i="1" s="1"/>
  <c r="J5" i="1"/>
  <c r="J4" i="1" s="1"/>
  <c r="I36" i="1"/>
  <c r="M39" i="1"/>
  <c r="S10" i="1"/>
  <c r="P10" i="1" s="1"/>
  <c r="Q10" i="1" s="1"/>
  <c r="S22" i="1"/>
  <c r="P22" i="1" s="1"/>
  <c r="Q22" i="1" s="1"/>
  <c r="S23" i="1"/>
  <c r="P23" i="1" s="1"/>
  <c r="Q23" i="1" s="1"/>
  <c r="S20" i="1"/>
  <c r="P20" i="1" s="1"/>
  <c r="Q20" i="1" s="1"/>
  <c r="E18" i="1"/>
  <c r="I18" i="1" s="1"/>
  <c r="G17" i="1"/>
  <c r="S17" i="1" s="1"/>
  <c r="E30" i="1"/>
  <c r="I30" i="1" s="1"/>
  <c r="S27" i="1"/>
  <c r="P27" i="1" s="1"/>
  <c r="G26" i="1"/>
  <c r="S26" i="1" s="1"/>
  <c r="E31" i="1"/>
  <c r="M31" i="1" s="1"/>
  <c r="S12" i="1"/>
  <c r="P12" i="1" s="1"/>
  <c r="Q12" i="1" s="1"/>
  <c r="S25" i="1"/>
  <c r="P25" i="1" s="1"/>
  <c r="Q25" i="1" s="1"/>
  <c r="S11" i="1"/>
  <c r="P11" i="1" s="1"/>
  <c r="Q11" i="1" s="1"/>
  <c r="E28" i="1"/>
  <c r="Q28" i="1" s="1"/>
  <c r="I21" i="1"/>
  <c r="R6" i="1"/>
  <c r="L6" i="1"/>
  <c r="S21" i="1"/>
  <c r="P21" i="1" s="1"/>
  <c r="Q21" i="1" s="1"/>
  <c r="E29" i="1"/>
  <c r="I29" i="1" s="1"/>
  <c r="P31" i="1"/>
  <c r="Q38" i="1"/>
  <c r="S37" i="1"/>
  <c r="P37" i="1" s="1"/>
  <c r="E37" i="1"/>
  <c r="M37" i="1" s="1"/>
  <c r="M38" i="1"/>
  <c r="L26" i="1"/>
  <c r="P33" i="1"/>
  <c r="I34" i="1"/>
  <c r="Q34" i="1"/>
  <c r="N17" i="1"/>
  <c r="M32" i="1"/>
  <c r="P29" i="1"/>
  <c r="H6" i="1"/>
  <c r="S32" i="1"/>
  <c r="P32" i="1" s="1"/>
  <c r="Q32" i="1" s="1"/>
  <c r="P19" i="1"/>
  <c r="Q19" i="1" s="1"/>
  <c r="E27" i="1"/>
  <c r="M27" i="1" s="1"/>
  <c r="I32" i="1"/>
  <c r="R26" i="1"/>
  <c r="H26" i="1"/>
  <c r="I22" i="1"/>
  <c r="I20" i="1"/>
  <c r="M25" i="1"/>
  <c r="S24" i="1"/>
  <c r="P24" i="1" s="1"/>
  <c r="Q24" i="1" s="1"/>
  <c r="I24" i="1"/>
  <c r="M21" i="1"/>
  <c r="I25" i="1"/>
  <c r="M24" i="1"/>
  <c r="I8" i="1"/>
  <c r="M23" i="1"/>
  <c r="M9" i="1"/>
  <c r="M20" i="1"/>
  <c r="M22" i="1"/>
  <c r="M19" i="1"/>
  <c r="P18" i="1"/>
  <c r="I23" i="1"/>
  <c r="I19" i="1"/>
  <c r="H17" i="1"/>
  <c r="S15" i="1"/>
  <c r="P15" i="1" s="1"/>
  <c r="S13" i="1"/>
  <c r="P13" i="1" s="1"/>
  <c r="Q13" i="1" s="1"/>
  <c r="P14" i="1"/>
  <c r="Q14" i="1" s="1"/>
  <c r="S9" i="1"/>
  <c r="P9" i="1" s="1"/>
  <c r="Q9" i="1" s="1"/>
  <c r="S8" i="1"/>
  <c r="P8" i="1" s="1"/>
  <c r="Q8" i="1" s="1"/>
  <c r="I11" i="1"/>
  <c r="M11" i="1"/>
  <c r="M14" i="1"/>
  <c r="I14" i="1"/>
  <c r="M10" i="1"/>
  <c r="I10" i="1"/>
  <c r="I9" i="1"/>
  <c r="M8" i="1"/>
  <c r="I13" i="1"/>
  <c r="M13" i="1"/>
  <c r="M12" i="1"/>
  <c r="I12" i="1"/>
  <c r="J4" i="14"/>
  <c r="K4" i="14"/>
  <c r="F4" i="14"/>
  <c r="E7" i="14"/>
  <c r="H7" i="14"/>
  <c r="L7" i="14"/>
  <c r="R7" i="14"/>
  <c r="S7" i="14"/>
  <c r="C7" i="14"/>
  <c r="C6" i="14"/>
  <c r="B7" i="14"/>
  <c r="B6" i="14"/>
  <c r="C5" i="14"/>
  <c r="B5" i="14"/>
  <c r="C7" i="16"/>
  <c r="C6" i="16"/>
  <c r="B7" i="16"/>
  <c r="B6" i="16"/>
  <c r="E6" i="16"/>
  <c r="I6" i="16" s="1"/>
  <c r="H6" i="16"/>
  <c r="L6" i="16"/>
  <c r="R6" i="16"/>
  <c r="S6" i="16"/>
  <c r="E7" i="16"/>
  <c r="M7" i="16" s="1"/>
  <c r="H7" i="16"/>
  <c r="L7" i="16"/>
  <c r="R7" i="16"/>
  <c r="S7" i="16"/>
  <c r="P7" i="16" l="1"/>
  <c r="Q7" i="16" s="1"/>
  <c r="J18" i="22"/>
  <c r="M15" i="1"/>
  <c r="O18" i="22"/>
  <c r="Q15" i="1"/>
  <c r="F18" i="22"/>
  <c r="I33" i="1"/>
  <c r="Q33" i="1"/>
  <c r="Q30" i="1"/>
  <c r="I31" i="1"/>
  <c r="M18" i="1"/>
  <c r="E26" i="1"/>
  <c r="M26" i="1" s="1"/>
  <c r="M30" i="1"/>
  <c r="P6" i="1"/>
  <c r="Q18" i="1"/>
  <c r="I37" i="1"/>
  <c r="M29" i="1"/>
  <c r="Q31" i="1"/>
  <c r="G5" i="1"/>
  <c r="G4" i="1" s="1"/>
  <c r="R17" i="1"/>
  <c r="P17" i="1" s="1"/>
  <c r="N5" i="1"/>
  <c r="N4" i="1" s="1"/>
  <c r="I28" i="1"/>
  <c r="M28" i="1"/>
  <c r="I27" i="1"/>
  <c r="Q29" i="1"/>
  <c r="Q37" i="1"/>
  <c r="L17" i="1"/>
  <c r="E17" i="1"/>
  <c r="Q27" i="1"/>
  <c r="P26" i="1"/>
  <c r="E6" i="1"/>
  <c r="M6" i="1" s="1"/>
  <c r="G4" i="14"/>
  <c r="M7" i="14"/>
  <c r="P7" i="14"/>
  <c r="Q7" i="14" s="1"/>
  <c r="I7" i="14"/>
  <c r="P6" i="16"/>
  <c r="Q6" i="16" s="1"/>
  <c r="I7" i="16"/>
  <c r="M6" i="16"/>
  <c r="N18" i="22" l="1"/>
  <c r="G18" i="22"/>
  <c r="I26" i="1"/>
  <c r="Q26" i="1"/>
  <c r="M17" i="1"/>
  <c r="Q17" i="1"/>
  <c r="I17" i="1"/>
  <c r="Q6" i="1"/>
  <c r="I6" i="1"/>
  <c r="R6" i="20"/>
  <c r="L6" i="20"/>
  <c r="H6" i="20"/>
  <c r="E6" i="20"/>
  <c r="B6" i="20"/>
  <c r="R5" i="20"/>
  <c r="L5" i="20"/>
  <c r="H5" i="20"/>
  <c r="E5" i="20"/>
  <c r="B5" i="20"/>
  <c r="O4" i="20"/>
  <c r="K4" i="20"/>
  <c r="L4" i="20" l="1"/>
  <c r="H4" i="20"/>
  <c r="G4" i="20"/>
  <c r="I6" i="20"/>
  <c r="M6" i="20"/>
  <c r="I5" i="20"/>
  <c r="M5" i="20"/>
  <c r="S5" i="20"/>
  <c r="P5" i="20" s="1"/>
  <c r="Q5" i="20" s="1"/>
  <c r="S6" i="20"/>
  <c r="P6" i="20" s="1"/>
  <c r="Q6" i="20" s="1"/>
  <c r="R4" i="20"/>
  <c r="E4" i="20" l="1"/>
  <c r="S4" i="20"/>
  <c r="I4" i="20" l="1"/>
  <c r="P4" i="20"/>
  <c r="M4" i="20"/>
  <c r="R6" i="19"/>
  <c r="L6" i="19"/>
  <c r="H6" i="19"/>
  <c r="C6" i="19"/>
  <c r="B6" i="19"/>
  <c r="L4" i="19" l="1"/>
  <c r="I6" i="19"/>
  <c r="M6" i="19"/>
  <c r="U4" i="20"/>
  <c r="Q4" i="20"/>
  <c r="T4" i="20" s="1"/>
  <c r="S4" i="19"/>
  <c r="H4" i="19"/>
  <c r="R4" i="19"/>
  <c r="S6" i="19"/>
  <c r="P6" i="19" s="1"/>
  <c r="Q6" i="19" s="1"/>
  <c r="P4" i="19" l="1"/>
  <c r="M4" i="19"/>
  <c r="I4" i="19"/>
  <c r="U4" i="19" l="1"/>
  <c r="Q4" i="19"/>
  <c r="T4" i="19" s="1"/>
  <c r="E7" i="1" l="1"/>
  <c r="L7" i="1"/>
  <c r="H7" i="1"/>
  <c r="S7" i="1"/>
  <c r="R7" i="1" l="1"/>
  <c r="P7" i="1" s="1"/>
  <c r="Q7" i="1" s="1"/>
  <c r="I7" i="1"/>
  <c r="M7" i="1"/>
  <c r="O4" i="16" l="1"/>
  <c r="K4" i="16"/>
  <c r="C5" i="16"/>
  <c r="B5" i="16"/>
  <c r="R5" i="16"/>
  <c r="L5" i="16"/>
  <c r="H5" i="16"/>
  <c r="E5" i="16"/>
  <c r="N4" i="16"/>
  <c r="J4" i="16"/>
  <c r="F4" i="16"/>
  <c r="L4" i="16" l="1"/>
  <c r="G4" i="16"/>
  <c r="E4" i="16" s="1"/>
  <c r="S5" i="16"/>
  <c r="P5" i="16" s="1"/>
  <c r="Q5" i="16" s="1"/>
  <c r="I5" i="16"/>
  <c r="H4" i="16"/>
  <c r="M5" i="16"/>
  <c r="R4" i="16"/>
  <c r="M4" i="16" l="1"/>
  <c r="S4" i="16"/>
  <c r="P4" i="16"/>
  <c r="Q4" i="16" s="1"/>
  <c r="I4" i="16"/>
  <c r="T4" i="16" l="1"/>
  <c r="N4" i="14" l="1"/>
  <c r="O4" i="14"/>
  <c r="R6" i="14"/>
  <c r="R5" i="14"/>
  <c r="H6" i="14"/>
  <c r="L6" i="14"/>
  <c r="S6" i="14"/>
  <c r="L5" i="14"/>
  <c r="H5" i="14"/>
  <c r="S5" i="14"/>
  <c r="R4" i="14" l="1"/>
  <c r="E5" i="14"/>
  <c r="I5" i="14" s="1"/>
  <c r="E6" i="14"/>
  <c r="M6" i="14" s="1"/>
  <c r="P5" i="14"/>
  <c r="P6" i="14"/>
  <c r="H4" i="14"/>
  <c r="L4" i="14"/>
  <c r="M5" i="14" l="1"/>
  <c r="I6" i="14"/>
  <c r="Q5" i="14"/>
  <c r="E5" i="1"/>
  <c r="Q6" i="14"/>
  <c r="S4" i="14"/>
  <c r="E4" i="14"/>
  <c r="M4" i="14" s="1"/>
  <c r="P4" i="14" l="1"/>
  <c r="Q4" i="14" s="1"/>
  <c r="I4" i="14"/>
  <c r="T4" i="14" l="1"/>
  <c r="L5" i="1"/>
  <c r="R5" i="1"/>
  <c r="T9" i="1" l="1"/>
  <c r="T26" i="1"/>
  <c r="E4" i="1" l="1"/>
  <c r="E18" i="22" l="1"/>
  <c r="R4" i="1" l="1"/>
  <c r="R18" i="22" l="1"/>
  <c r="L4" i="1" l="1"/>
  <c r="L18" i="22" l="1"/>
  <c r="M4" i="1"/>
  <c r="M18" i="22" l="1"/>
  <c r="R146" i="1"/>
  <c r="P146" i="1" s="1"/>
  <c r="Q146" i="1" s="1"/>
  <c r="L146" i="1"/>
  <c r="M146" i="1" s="1"/>
  <c r="H40" i="1"/>
  <c r="I40" i="1" s="1"/>
  <c r="S40" i="1"/>
  <c r="P40" i="1" s="1"/>
  <c r="Q40" i="1" s="1"/>
  <c r="K39" i="1"/>
  <c r="H39" i="1" s="1"/>
  <c r="I39" i="1" s="1"/>
  <c r="K5" i="1" l="1"/>
  <c r="K4" i="1" s="1"/>
  <c r="S39" i="1"/>
  <c r="P39" i="1" s="1"/>
  <c r="Q39" i="1" s="1"/>
  <c r="H4" i="1" l="1"/>
  <c r="H5" i="1"/>
  <c r="I5" i="1" s="1"/>
  <c r="S5" i="1"/>
  <c r="P5" i="1" s="1"/>
  <c r="Q5" i="1" s="1"/>
  <c r="T5" i="1" l="1"/>
  <c r="K18" i="22"/>
  <c r="S4" i="1"/>
  <c r="I4" i="1"/>
  <c r="P4" i="1"/>
  <c r="H18" i="22"/>
  <c r="S18" i="22" l="1"/>
  <c r="I18" i="22"/>
  <c r="T3" i="1"/>
  <c r="Q4" i="1"/>
  <c r="T4" i="1" s="1"/>
  <c r="P18" i="22"/>
  <c r="Q18" i="22" s="1"/>
  <c r="G5" i="21" l="1"/>
  <c r="G4" i="21" s="1"/>
  <c r="S5" i="21" l="1"/>
  <c r="P5" i="21" s="1"/>
  <c r="E5" i="21"/>
  <c r="M5" i="21" l="1"/>
  <c r="I5" i="21"/>
  <c r="Q5" i="21"/>
  <c r="S4" i="21"/>
  <c r="E4" i="21"/>
  <c r="M4" i="21" l="1"/>
  <c r="P4" i="21"/>
  <c r="I4" i="21"/>
  <c r="Q4" i="21" l="1"/>
  <c r="T4" i="21" s="1"/>
  <c r="U4" i="21"/>
</calcChain>
</file>

<file path=xl/sharedStrings.xml><?xml version="1.0" encoding="utf-8"?>
<sst xmlns="http://schemas.openxmlformats.org/spreadsheetml/2006/main" count="441" uniqueCount="102">
  <si>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</si>
  <si>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</si>
  <si>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</si>
  <si>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</si>
  <si>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</si>
  <si>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</si>
  <si>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</si>
  <si>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</si>
  <si>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</si>
  <si>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</si>
  <si>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</si>
  <si>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</si>
  <si>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</si>
  <si>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</si>
  <si>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</si>
  <si>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รหัส</t>
  </si>
  <si>
    <t>งบประมาณ</t>
  </si>
  <si>
    <t>สำนักงานชลประทานที่ 2</t>
  </si>
  <si>
    <t>10สค.61</t>
  </si>
  <si>
    <t>โครงการอันเนื่องมาจากพระราชดำริ  38015</t>
  </si>
  <si>
    <t>13กย.61</t>
  </si>
  <si>
    <t>ผลผลิตที่ ส่งเสริมการดำเนินงานอันเนื่องมาจากพระราชดำริ (40084)</t>
  </si>
  <si>
    <t>ซ่อมแซมจังหวัดลำปาง</t>
  </si>
  <si>
    <t>18ตค.61</t>
  </si>
  <si>
    <t>ซ่อมแซมจังหวัดพะเยา</t>
  </si>
  <si>
    <t>ซ่อมแซมจังหวัดน่าน</t>
  </si>
  <si>
    <t>ปรับปรุงจังหวัดลำปาง</t>
  </si>
  <si>
    <t>ปรับปรุงจังหวัดพะเยา</t>
  </si>
  <si>
    <t>ผลผลิตที่ โครงการปรับปรุงงานชลประทาน  (49052)</t>
  </si>
  <si>
    <t>16ตค.61</t>
  </si>
  <si>
    <t>ปรับปรุงลำปางจังหวัดลำปาง</t>
  </si>
  <si>
    <t>ผลผลิตที่ โครงการป้องกันละบรรเทาภัยจากน้ำ  (49054)</t>
  </si>
  <si>
    <t>12ตค.61</t>
  </si>
  <si>
    <t>ซ่อมแซมจังหวัดเชียงราย</t>
  </si>
  <si>
    <t>ผลผลิตที่ โครงการจัดหาแหล่งน้ำและเพิ่มพื้นที่ชลประทาน  (49053)</t>
  </si>
  <si>
    <t>17ตค.61</t>
  </si>
  <si>
    <t>เขื่อนแม่สรวย จ.เชียงราย</t>
  </si>
  <si>
    <t>จังหวัดลำปาง</t>
  </si>
  <si>
    <t>ค่าสำรวจแผนที่ภูมิประเทศ</t>
  </si>
  <si>
    <t>ค่าสำรวจธรณีและปฐพีวิทยา</t>
  </si>
  <si>
    <t>22 ตค.61</t>
  </si>
  <si>
    <t>ค่าศึกษา สำรวจ ออกแบบ</t>
  </si>
  <si>
    <t>22ตค.61</t>
  </si>
  <si>
    <t>ค่ารังวัดและออกหนังสือสำคัญที่หลวง</t>
  </si>
  <si>
    <t>28ตค.61</t>
  </si>
  <si>
    <t>19ตค.61</t>
  </si>
  <si>
    <t>ค่าใช้จ่ายในการบริหารที่ดิน</t>
  </si>
  <si>
    <t>29ตค.61</t>
  </si>
  <si>
    <t>ผลผลิตที่ โครงการบริหารจัดการทรัพยากรธรรมชาติและสิ่งแวดล้อมภาคเหนือ   (280A5)</t>
  </si>
  <si>
    <t>5พย.61</t>
  </si>
  <si>
    <t>13 พย.61</t>
  </si>
  <si>
    <t>21พย.61</t>
  </si>
  <si>
    <t>7ธค.61</t>
  </si>
  <si>
    <t>ผลผลิตที่ การจัดการน้ำชลประทาน   (56001)</t>
  </si>
  <si>
    <t>13 ธค.61</t>
  </si>
  <si>
    <t>โครงการติดตามผลกระทบแผ่นดินไหว</t>
  </si>
  <si>
    <t>7 ธค.61</t>
  </si>
  <si>
    <t>18 ธค.61</t>
  </si>
  <si>
    <t>โอนกลับส่วนกลาง</t>
  </si>
  <si>
    <t>ปรับปรุงจังหวัดน่าน</t>
  </si>
  <si>
    <t>26ธค.61</t>
  </si>
  <si>
    <t>26 ธค.61</t>
  </si>
  <si>
    <t>27ธค.61</t>
  </si>
  <si>
    <t>2มค.62</t>
  </si>
  <si>
    <t>3มค.62</t>
  </si>
  <si>
    <t>2 มค.62</t>
  </si>
  <si>
    <t>น่าน</t>
  </si>
  <si>
    <t>4 มค.62</t>
  </si>
  <si>
    <t>จังหวัดน่าน</t>
  </si>
  <si>
    <t>ค่าบำรุงรักษาเครื่องมือวัดพฤติกรรมเขื่อน</t>
  </si>
  <si>
    <t>17มค.62</t>
  </si>
  <si>
    <t>18มค.62</t>
  </si>
  <si>
    <t>ปรับปรุงจังหวัดเชียงราย</t>
  </si>
  <si>
    <t>7กพ.62</t>
  </si>
  <si>
    <t>4กพ.62</t>
  </si>
  <si>
    <t>20กพ.62</t>
  </si>
  <si>
    <t>11กพ.62</t>
  </si>
  <si>
    <t>1 มีค.62</t>
  </si>
  <si>
    <t>ผลผลิตที่ โครงการอ่างเก็บน้ำน้ำปี้อันเนื่องมาจากพระราชดำริ (49056)</t>
  </si>
  <si>
    <t>25 มีค.62</t>
  </si>
  <si>
    <t>โครงการอันเนื่องมาจากพระราชดำริ  40015</t>
  </si>
  <si>
    <t>โครงการปรับปรุงคลองผันน้ำร่องสักและโครงการก่อสร้างฝายร่องขุยพร้อมระบบส่งน้ำอันเนื่องมาจากพระราชดำริ อ.ดอกคำใต้ จ.พะเยา</t>
  </si>
  <si>
    <t>2 เมย .62</t>
  </si>
  <si>
    <t>9 เมย.62</t>
  </si>
  <si>
    <t>9เมย.62</t>
  </si>
  <si>
    <t>30เมย.62</t>
  </si>
  <si>
    <t>14พค.62</t>
  </si>
  <si>
    <t>ค่าปรับปรุงภูมิทัศน์ สชป.2</t>
  </si>
  <si>
    <t>15 พค.62</t>
  </si>
  <si>
    <t>ค่าสำรวจแผนที่ภูมิประเทศงานชลประทาน</t>
  </si>
  <si>
    <t>ค่าสำรวจธรณีและปฐพีวิทยาชลประทาน</t>
  </si>
  <si>
    <t>ครุภัณฑ์ที่มีราคาต่อหน่วยต่ำกว่า 1 ล้านบาท</t>
  </si>
  <si>
    <t>25มิย.62</t>
  </si>
  <si>
    <t>งบกลาง</t>
  </si>
  <si>
    <t>รายงานผลการเบิกจ่าย เงินงบประมาณ 2562   สำนักงานชลประทานที่ 2  ข้อมูลถึงณ วันที่  23   สิงหาคม 2562</t>
  </si>
  <si>
    <t>รายงานผลการเบิกจ่าย เงินงบประมาณ 2562   ส่วนแผนงาน  สำนักงานชลประทานที่ 2  ข้อมูลถึงณ วันที่ 23  สิงหาคม  2562</t>
  </si>
  <si>
    <t>รายงานผลการเบิกจ่าย เงินงบประมาณ 2562 ส่วนบริหารเครื่องจักรกลที่ 1  สำนักงานชลประทานที่ 2  ข้อมูลถึงณ วันที่  23  สิงหาคม 2562</t>
  </si>
  <si>
    <t>รายงานผลการเบิกจ่าย เงินงบประมาณ 2562 โครงการก่อสร้าง  สำนักงานชลประทานที่ 2  ข้อมูลถึงณ วันที่ 23  สิงหาคม  2562</t>
  </si>
  <si>
    <t>รายงานผลการเบิกจ่าย   ปีงบประมาณ 2561   สำนักงานชลประทานที่ 2  ข้อมูลถึงณ วันที่ 23  สิงหาคม  2562</t>
  </si>
  <si>
    <t>รายงานผลการเบิกจ่าย   ปีงบประมาณ 2560   สำนักงานชลประทานที่ 2  ข้อมูลถึงณ วันที่ 23 สิงหาคม   2562</t>
  </si>
  <si>
    <t>รายงานผลการเบิกจ่าย เงินงบประมาณ 2561 โครงการก่อสร้าง  สำนักงานชลประทานที่ 2  ข้อมูลถึงณ วันที่ 23  สิงหาคม  2562</t>
  </si>
  <si>
    <t>รายงานผลการเบิกจ่าย เงินงบประมาณ 2561  ส่วนบริหารเครื่องจักรกลที่ 1  สำนักงานชลประทานที่ 2  ข้อมูลถึงณ วันที่ 23  สิงหาคม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</si>
</sst>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  <font>
      <sz val="16"/>
      <color rgb="FF00B0F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0" borderId="5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43" fontId="3" fillId="0" borderId="0" xfId="0" applyNumberFormat="1" applyFont="1"/>
    <xf numFmtId="43" fontId="3" fillId="0" borderId="9" xfId="1" applyFont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43" fontId="3" fillId="3" borderId="5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3" fontId="3" fillId="4" borderId="10" xfId="1" applyFont="1" applyFill="1" applyBorder="1" applyAlignment="1">
      <alignment wrapText="1"/>
    </xf>
    <xf numFmtId="43" fontId="3" fillId="4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43" fontId="7" fillId="0" borderId="5" xfId="1" applyFont="1" applyBorder="1" applyAlignment="1">
      <alignment vertical="top" wrapText="1"/>
    </xf>
    <xf numFmtId="43" fontId="7" fillId="0" borderId="7" xfId="1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43" fontId="7" fillId="0" borderId="0" xfId="0" applyNumberFormat="1" applyFont="1"/>
    <xf numFmtId="0" fontId="7" fillId="0" borderId="0" xfId="0" applyFont="1"/>
    <xf numFmtId="43" fontId="7" fillId="0" borderId="5" xfId="1" applyFont="1" applyBorder="1" applyAlignment="1">
      <alignment horizontal="center" wrapText="1"/>
    </xf>
    <xf numFmtId="43" fontId="7" fillId="0" borderId="7" xfId="1" applyFont="1" applyBorder="1" applyAlignment="1">
      <alignment horizontal="center" wrapText="1"/>
    </xf>
    <xf numFmtId="43" fontId="7" fillId="0" borderId="5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43" fontId="7" fillId="0" borderId="5" xfId="1" applyFont="1" applyBorder="1" applyAlignment="1">
      <alignment wrapText="1"/>
    </xf>
    <xf numFmtId="43" fontId="7" fillId="0" borderId="7" xfId="1" applyFont="1" applyBorder="1" applyAlignment="1">
      <alignment wrapText="1"/>
    </xf>
    <xf numFmtId="43" fontId="3" fillId="0" borderId="5" xfId="1" applyFont="1" applyBorder="1" applyAlignment="1">
      <alignment wrapText="1"/>
    </xf>
    <xf numFmtId="43" fontId="3" fillId="0" borderId="5" xfId="1" applyFont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wrapText="1"/>
    </xf>
    <xf numFmtId="43" fontId="7" fillId="0" borderId="5" xfId="1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43" fontId="3" fillId="4" borderId="0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43" fontId="3" fillId="4" borderId="13" xfId="1" applyFont="1" applyFill="1" applyBorder="1" applyAlignment="1">
      <alignment wrapText="1"/>
    </xf>
    <xf numFmtId="43" fontId="3" fillId="4" borderId="13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0" borderId="13" xfId="0" applyFont="1" applyBorder="1"/>
    <xf numFmtId="0" fontId="7" fillId="0" borderId="5" xfId="0" applyFont="1" applyBorder="1" applyAlignment="1">
      <alignment horizontal="left" wrapText="1"/>
    </xf>
    <xf numFmtId="43" fontId="7" fillId="0" borderId="5" xfId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3" borderId="5" xfId="1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horizontal="center" wrapText="1"/>
    </xf>
    <xf numFmtId="43" fontId="7" fillId="7" borderId="5" xfId="1" applyFont="1" applyFill="1" applyBorder="1" applyAlignment="1">
      <alignment wrapText="1"/>
    </xf>
    <xf numFmtId="43" fontId="7" fillId="7" borderId="7" xfId="1" applyFont="1" applyFill="1" applyBorder="1" applyAlignment="1">
      <alignment wrapText="1"/>
    </xf>
    <xf numFmtId="0" fontId="3" fillId="7" borderId="0" xfId="0" applyFont="1" applyFill="1"/>
    <xf numFmtId="0" fontId="3" fillId="0" borderId="9" xfId="0" applyFont="1" applyBorder="1"/>
    <xf numFmtId="0" fontId="3" fillId="0" borderId="4" xfId="0" applyFont="1" applyBorder="1"/>
    <xf numFmtId="0" fontId="3" fillId="0" borderId="10" xfId="0" applyFont="1" applyBorder="1"/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76" Type="http://schemas.openxmlformats.org/officeDocument/2006/relationships/externalLink" Target="externalLinks/externalLink67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65.xml"/><Relationship Id="rId79" Type="http://schemas.openxmlformats.org/officeDocument/2006/relationships/externalLink" Target="externalLinks/externalLink7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externalLink" Target="externalLinks/externalLink71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81" Type="http://schemas.openxmlformats.org/officeDocument/2006/relationships/externalLink" Target="externalLinks/externalLink7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21;&#3635;&#3611;&#3634;&#359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21;&#3635;&#3611;&#3634;&#359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48;&#3594;&#3637;&#3618;&#3591;&#3619;&#3634;&#36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48;&#3594;&#3637;&#3618;&#3591;&#3619;&#3634;&#36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48;&#3594;&#3637;&#3618;&#3591;&#3619;&#3634;&#361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14;&#3632;&#3648;&#3618;&#363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09;&#3656;&#3634;&#36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09;&#3656;&#3634;&#360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6;&#3656;&#3634;&#3618;&#3627;&#3617;&#3640;&#3604;&#3627;&#3621;&#3633;&#3585;&#3600;&#3634;&#360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05;&#3636;&#3604;&#3605;&#3634;&#3617;&#3649;&#3612;&#3656;&#3609;&#3604;&#3636;&#3609;&#3652;&#3627;&#362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10;&#3635;&#3619;&#3640;&#3591;&#3619;&#3633;&#3585;&#3625;&#3634;&#3648;&#3588;&#3619;&#3639;&#3656;&#3629;&#3591;&#3617;&#3639;&#3629;&#3614;&#3620;&#3605;&#3636;&#3585;&#3619;&#3619;&#3617;&#3648;&#3586;&#3639;&#3656;&#3629;&#360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10;&#3635;&#3619;&#3640;&#3591;&#3619;&#3633;&#3585;&#3625;&#3634;&#3648;&#3588;&#3619;&#3639;&#3656;&#3629;&#3591;&#3617;&#3639;&#3629;&#3614;&#3620;&#3605;&#3636;&#3585;&#3619;&#3619;&#3617;&#3648;&#3586;&#3639;&#3656;&#3629;&#3609;%20&#3649;&#3617;&#3656;&#3605;&#3656;&#3635;%20&#3595;&#3656;&#3629;&#3617;&#3649;&#3595;&#36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14;&#3632;&#3648;&#3618;&#36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%20&#3616;&#3641;&#3617;&#3636;&#3607;&#3633;&#3624;&#3609;&#3660;%20&#3626;&#3594;&#3611;.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21;&#3635;&#3611;&#3634;&#359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14;&#3632;&#3648;&#3618;&#363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%2019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&#3591;&#3634;&#3609;&#3594;&#3621;&#3611;&#3619;&#3632;&#3607;&#3634;&#3609;%2093%2094%209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19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%20%20101%20%201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19;&#3633;&#3591;&#3623;&#3633;&#3604;&#3649;&#3621;&#3632;&#3629;&#3629;&#3585;&#3627;&#3609;&#3633;&#3591;&#3626;&#3639;&#3629;&#3626;&#3635;&#3588;&#3633;&#3597;&#3607;&#3637;&#3656;&#3627;&#3621;&#3623;&#359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19;&#3633;&#3591;&#3623;&#3633;&#3604;&#3649;&#3621;&#3632;&#3629;&#3629;&#3585;&#3627;&#3609;&#3633;&#3591;&#3626;&#3639;&#3629;&#3626;&#3635;&#3588;&#3633;&#3597;&#3607;&#3637;&#3656;&#3627;&#3621;&#3623;&#359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10;&#3619;&#3636;&#3627;&#3634;&#3619;&#3592;&#3633;&#3604;&#3627;&#3634;&#3607;&#3637;&#3656;&#3604;&#3636;&#360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10;&#3619;&#3636;&#3627;&#3634;&#3619;&#3592;&#3633;&#3604;&#3627;&#3634;&#3607;&#3637;&#3656;&#3604;&#3636;&#360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609;&#3656;&#3634;&#360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48;&#3586;&#3639;&#3656;&#3629;&#3609;%20&#3649;&#3617;&#3656;&#3626;&#3619;&#3623;&#361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21;&#3635;&#3611;&#3634;&#3591;%20&#3614;&#3620;&#3605;&#3636;&#3585;&#3619;&#3619;&#3617;&#3648;&#3586;&#3639;&#3656;&#3629;&#3609;&#3649;&#3617;&#3656;&#3649;&#3585;&#3656;&#359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09;&#3656;&#3634;&#36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27;&#3617;&#3623;&#3604;%206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280A5/&#3626;&#3606;&#3634;&#3609;&#3637;&#3626;&#3641;&#3610;&#3609;&#3657;&#3635;&#3610;&#3657;&#3634;&#3609;&#3627;&#3633;&#3623;&#3648;&#3626;&#3639;&#362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280A5/&#3609;&#3656;&#3634;&#3609;%20280A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-700%20&#3610;&#3619;&#3636;&#3627;&#3634;&#3619;&#3592;&#3633;&#3604;&#3585;&#3634;&#3619;&#3609;&#3657;&#363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%20&#3611;&#3619;&#3633;&#3610;&#3611;&#3619;&#3640;&#3591;&#3621;&#3635;&#3611;&#3634;&#359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56001/56001-6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6/&#3588;&#3656;&#3634;&#3619;&#3633;&#3591;&#3623;&#3633;&#360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91;&#3610;&#3585;&#3621;&#3634;&#3591;%2040015%20&#3626;&#3594;&#3611;.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91;&#3610;&#3585;&#3621;&#3634;&#3591;%2040015%20%20&#3619;&#3656;&#3629;&#3591;&#3586;&#3640;&#3618;%20&#3626;&#3594;&#3611;.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56001%20-%207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21;&#3635;&#3611;&#3634;&#359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49052-70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648;&#3619;&#3639;&#3629;&#3586;&#3640;&#3604;%2000743/49054-7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4905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280A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4001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588;&#3656;&#3634;&#3588;&#3623;&#3610;&#3588;&#3640;&#3617;&#3591;&#3634;&#3609;&#3592;&#3657;&#3634;&#3591;&#3648;&#3627;&#3617;&#3634;&#3648;&#3586;&#3639;&#3656;&#3629;&#3609;&#3649;&#3617;&#3656;&#3626;&#3619;&#3623;&#361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611;&#3619;&#3633;&#3610;&#3611;&#3619;&#3640;&#3591;&#3649;&#3617;&#3656;&#3626;&#3619;&#3623;&#3618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8;&#3627;&#3621;&#3639;&#3656;&#3629;&#3617;&#3611;&#3637;&#3649;&#3610;&#3610;&#3652;&#3617;&#3656;&#3617;&#3637;&#3627;&#3609;&#3637;&#3657;%20%20%20&#3614;&#3619;&#3610;.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9;&#3610;&#3610;&#3617;&#3637;&#3627;&#3609;&#3637;&#3657;%20%20p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12/00712/38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14;&#3632;&#3648;&#3618;&#363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&#3585;&#3656;&#3629;&#3626;&#3619;&#3657;&#3634;&#3591;%2000712/38015%20&#3591;&#3610;&#3585;&#3621;&#3634;&#3591;%20&#3648;&#3591;&#3636;&#3609;&#3585;&#3633;&#3609;%20&#3611;&#3637;%206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43%20&#3594;&#3656;&#3634;&#3591;&#3585;&#3621;/630X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&#3648;&#3591;&#3636;&#3609;&#3585;&#3633;&#3609;&#3648;&#3627;&#3621;&#3639;&#3656;&#3629;&#3617;&#3611;&#3637;%2061%20&#3586;&#3618;&#3634;&#3618;%2060/&#3648;&#3591;&#3636;&#3609;&#3585;&#3633;&#3609;&#3648;&#3627;&#3621;&#3639;&#3656;&#3629;&#3617;&#3611;&#3637;%2061%2000743/&#3648;&#3591;&#3636;&#3609;&#3585;&#3633;&#3609;%2061%20630X1%20%200074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09;&#3656;&#3634;&#360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611;&#3619;&#3633;&#3610;&#3611;&#3619;&#3640;&#3591;&#3609;&#3656;&#363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    </cell>
          <cell r="I5" t="str">
            <v>0700340084410148</v>
          </cell>
        </row>
        <row r="6">
          <cell r="E6" t="str">
            <v>ซ่อมแซมคลองส่งน้ำอ่างเก็บน้ำแม่ไพร(เหมืองทุ่งโฮ้ง)ต.วอแก้ว อ.ห้างฉัตร จ.ลำปาง</v>
          </cell>
          <cell r="I6" t="str">
            <v>0700340084410149</v>
          </cell>
          <cell r="J6">
            <v>38000</v>
          </cell>
        </row>
        <row r="7">
          <cell r="E7" t="str">
            <v>ซ่อมแซมระบบส่งน้ำฝั่งซ้ายอ่างเก็บน้ำแม่ตา ต.ปงดอน อ.แจ้ห่ม จ.ลำปาง</v>
          </cell>
          <cell r="I7" t="str">
            <v>0700340084410150</v>
          </cell>
          <cell r="J7">
            <v>28000</v>
          </cell>
        </row>
        <row r="8">
          <cell r="E8" t="str">
            <v>ซ่อมแซมระบบส่งน้ำฝั่งซ้ายอ่างเก็บน้ำแม่ยาว ต.แม่สัน อ.ห้างฉัตร จ.ลำปาง</v>
          </cell>
          <cell r="I8" t="str">
            <v>0700340084410152</v>
          </cell>
        </row>
        <row r="9">
          <cell r="E9" t="str">
            <v>ซ่อมแซมระบบส่งน้ำฝายน้ำงาว ต.หลวงเหนือ อ.งาว จ.ลำปาง</v>
          </cell>
          <cell r="I9" t="str">
            <v>0700340084410153</v>
          </cell>
        </row>
        <row r="10">
          <cell r="E10" t="str">
            <v>ซ่อมแซมอาคารบังคับน้ำอ่างเก็บน้ำแม่ปอน ต.แม่สัน อ.ห้างฉัตร จ.ลำปาง</v>
          </cell>
          <cell r="I10" t="str">
            <v>0700340084410154</v>
          </cell>
          <cell r="J10">
            <v>4400</v>
          </cell>
        </row>
        <row r="11">
          <cell r="E11" t="str">
            <v>ซ่อมแซมระบบส่งน้ำอ่างเก็บน้ำแม่เกี๋ยง(เหมืองขวาบน) ต.เมืองยาว อ.ห้างฉัตร จ.ลำปาง</v>
          </cell>
          <cell r="I11" t="str">
            <v>0700340084410155</v>
          </cell>
          <cell r="J11">
            <v>47000</v>
          </cell>
        </row>
        <row r="12">
          <cell r="E12" t="str">
            <v>ซ่อมแซมคลองส่งน้ำอ่างเก็บน้ำแม่เกี๋ยง(เหมืองขวาล่าง) ต.เมืองยาว อ.ห้างฉัตร จ.ลำปาง</v>
          </cell>
          <cell r="I12" t="str">
            <v>0700340084410156</v>
          </cell>
        </row>
        <row r="13">
          <cell r="E13" t="str">
            <v>ซ่อมแซมอาคารบังคับน้ำอ่างเก็บน้ำห้วยแม่แมะ ต.ปงดอน อ.แจ้ห่ม จ.ลำปาง</v>
          </cell>
          <cell r="I13" t="str">
            <v>0700340084410157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    </cell>
          <cell r="I5" t="str">
            <v>0700349052410478</v>
          </cell>
          <cell r="J5">
            <v>83000</v>
          </cell>
        </row>
        <row r="6">
          <cell r="E6" t="str">
    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    </cell>
          <cell r="I6" t="str">
            <v>0700349052410479</v>
          </cell>
          <cell r="J6">
            <v>56700</v>
          </cell>
        </row>
        <row r="7">
          <cell r="E7" t="str">
            <v>ซ่อมแซมอาคารบังคับน้ำอ่างเก็บน้ำห้วยแม่หยวกโครงการชลประทานลำปาง ต.ปงดอน อ.แจ้ห่ม จ.ลำปาง</v>
          </cell>
          <cell r="I7" t="str">
            <v>0700349052410481</v>
          </cell>
        </row>
        <row r="8">
          <cell r="E8" t="str">
            <v>ซ่อมแซมอาคารบังคับน้ำอ่างเก็บน้ำห้วยส้มโครงการชลประทานลำปาง ต.บ้านแหง อ.งาว จ.ลำปาง</v>
          </cell>
          <cell r="I8" t="str">
            <v>0700349052410482</v>
          </cell>
          <cell r="J8">
            <v>1500</v>
          </cell>
        </row>
        <row r="9">
          <cell r="E9" t="str">
    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    </cell>
          <cell r="I9" t="str">
            <v>0700349052410483</v>
          </cell>
          <cell r="J9">
            <v>62000</v>
          </cell>
        </row>
        <row r="10">
          <cell r="E10" t="str">
    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    </cell>
          <cell r="I10" t="str">
            <v>0700349052410484</v>
          </cell>
          <cell r="J10">
            <v>13000</v>
          </cell>
        </row>
        <row r="11">
          <cell r="E11" t="str">
            <v>ซ่อมแซมระบบท่อส่งน้ำอ่างเก็บน้ำแม่จอกโครงการชลประทานลำปาง ต.เสริมซ้าย อ.เสริมงาม จ.ลำปาง</v>
          </cell>
          <cell r="I11" t="str">
            <v>0700349052410485</v>
          </cell>
          <cell r="J11">
            <v>14100</v>
          </cell>
        </row>
        <row r="12">
          <cell r="E12" t="str">
            <v>ซ่อมแซมระบบส่งน้ำแม่ตา LMCอ่างเก็บน้ำแม่ตา โครงการชลประทานลำปาง ต.ปงดอน อ.แจ้ห่ม จ.ลำปาง</v>
          </cell>
          <cell r="I12" t="str">
            <v>0700349052410486</v>
          </cell>
        </row>
        <row r="13">
          <cell r="E13" t="str">
    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    </cell>
          <cell r="I13" t="str">
            <v>0700349052410487</v>
          </cell>
          <cell r="J13">
            <v>35000</v>
          </cell>
        </row>
        <row r="14">
          <cell r="E14" t="str">
    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    </cell>
          <cell r="I14" t="str">
            <v>0700349052410488</v>
          </cell>
          <cell r="J14">
            <v>34200</v>
          </cell>
        </row>
        <row r="15">
          <cell r="E15" t="str">
            <v>ซ่อมแซมระบบส่งน้ำทุ่งแอดระยะที่ 1โครงการชลประทานลำปาง ต.บ้านขอ อ.เมืองปาน จ.ลำปาง</v>
          </cell>
          <cell r="I15" t="str">
            <v>0700349052410489</v>
          </cell>
          <cell r="J15">
            <v>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J7">
            <v>3782</v>
          </cell>
        </row>
        <row r="12">
          <cell r="J12">
            <v>0</v>
          </cell>
        </row>
        <row r="16">
          <cell r="E16" t="str">
            <v>ซ่อมแซมคลองส่งน้ำซอยทุ่งใน อ่างเก็บน้ำแพะทุ่งกว๋าว โครงการชลประทานลำปาง ต.ทุ่งกว๋าว อ.เมืองปาน  จ.ลำปาง</v>
          </cell>
          <cell r="I16" t="str">
            <v>0700349052410480</v>
          </cell>
          <cell r="J16">
            <v>35000</v>
          </cell>
        </row>
        <row r="17">
          <cell r="E17" t="str">
            <v>ซ่อมแซมพนังป้องกันตลิ่งแม่น้ำวังท้ายเขื่อนกิ่วคอหมาเพื่อป้องกันน้ำท่วมกม.14+450 ยาว 100 เมตร</v>
          </cell>
          <cell r="I17" t="str">
            <v>0700349052410ZS4</v>
          </cell>
          <cell r="J17">
            <v>45000</v>
          </cell>
        </row>
        <row r="18">
          <cell r="E18" t="str">
            <v>ซ่อมแซมระบบส่งน้ำ 1L-LMCอ่างเก็บน้ำแม่ปอบ โครงการชลประทานลำปาง ต.ปงดอน อ.แจ้ห่ม จ.ลำปาง</v>
          </cell>
          <cell r="I18" t="str">
            <v>0700349052410ZDX</v>
          </cell>
          <cell r="J18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ซ่อมแซมคลองส่งน้ำอ่างเก็บน้ำแม่ใจโครงการชลประทานพะเยา ต.เจริญราษฎร์ อ.แม่ใจ จ.พะเยา</v>
          </cell>
          <cell r="I5" t="str">
            <v>0700349052410457</v>
          </cell>
        </row>
        <row r="6">
          <cell r="E6" t="str">
    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    </cell>
          <cell r="I6" t="str">
            <v>0700349052410458</v>
          </cell>
        </row>
        <row r="7">
          <cell r="E7" t="str">
            <v>ซ่อมแซมคลองส่งน้ำสาย1L-LMCอ่างเก็บน้ำห้วยซ้ายโครงการชลประทานพะเยา ต.ทุ่งกล้วย อ.ภูซาง จ.พะเยา</v>
          </cell>
          <cell r="I7" t="str">
            <v>0700349052410459</v>
          </cell>
          <cell r="J7">
            <v>13800</v>
          </cell>
        </row>
        <row r="8">
          <cell r="E8" t="str">
    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    </cell>
          <cell r="I8" t="str">
            <v>0700349052410460</v>
          </cell>
        </row>
        <row r="9">
          <cell r="E9" t="str">
            <v>ซ่อมแซมคลองส่งน้ำสายทุ่งขามอ่างเก็บน้ำห้วยไฟโครงการชลประทานพะเยา ต.ป่าสัก อ.ภูซาง จ.พะเยา</v>
          </cell>
          <cell r="I9" t="str">
            <v>0700349052410461</v>
          </cell>
          <cell r="J9">
            <v>44400</v>
          </cell>
        </row>
        <row r="10">
          <cell r="E10" t="str">
    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    </cell>
          <cell r="I10" t="str">
            <v>0700349052410462</v>
          </cell>
        </row>
        <row r="11">
          <cell r="E11" t="str">
    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    </cell>
          <cell r="I11" t="str">
            <v>0700349052410463</v>
          </cell>
        </row>
        <row r="12">
          <cell r="E12" t="str">
            <v>ซ่อมแซมคลองส่งน้ำสาย5R-RMCอ่างเก็บน้ำห้วยสาโครงการชลประทานพะเยา ต.ร่มเย็น อ.เชียงคำ จ.พะเยา</v>
          </cell>
          <cell r="I12" t="str">
            <v>0700349052410464</v>
          </cell>
          <cell r="J12">
            <v>14100</v>
          </cell>
        </row>
        <row r="13">
          <cell r="E13" t="str">
    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    </cell>
          <cell r="I13" t="str">
            <v>0700349052410465</v>
          </cell>
          <cell r="J13">
            <v>46000</v>
          </cell>
        </row>
        <row r="14">
          <cell r="E14" t="str">
    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    </cell>
          <cell r="I14" t="str">
            <v>0700349052410466</v>
          </cell>
          <cell r="J14">
            <v>35100</v>
          </cell>
        </row>
        <row r="15">
          <cell r="E15" t="str">
    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    </cell>
          <cell r="I15" t="str">
            <v>0700349052410467</v>
          </cell>
          <cell r="J15">
            <v>35000</v>
          </cell>
        </row>
        <row r="16">
          <cell r="E16" t="str">
    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    </cell>
          <cell r="I16" t="str">
            <v>0700349052410469</v>
          </cell>
        </row>
        <row r="17">
          <cell r="E17" t="str">
    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    </cell>
          <cell r="I17" t="str">
            <v>0700349052410470</v>
          </cell>
          <cell r="J17">
            <v>28200</v>
          </cell>
        </row>
        <row r="18">
          <cell r="E18" t="str">
    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    </cell>
          <cell r="I18" t="str">
            <v>0700349052410471</v>
          </cell>
          <cell r="J18">
            <v>14000</v>
          </cell>
        </row>
        <row r="19">
          <cell r="E19" t="str">
    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    </cell>
          <cell r="I19" t="str">
            <v>0700349052410472</v>
          </cell>
          <cell r="J19">
            <v>45000</v>
          </cell>
        </row>
        <row r="20">
          <cell r="E20" t="str">
            <v>ซ่อมแซมคลองส่งน้ำรางรินฝายปางถ้ำ2 โครงการชลประทานพะเยา ต.ร่มเย็น อ.เชียงคำ จ.พะเยา</v>
          </cell>
          <cell r="I20" t="str">
            <v>0700349052410473</v>
          </cell>
        </row>
        <row r="21">
          <cell r="E21" t="str">
    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    </cell>
          <cell r="I21" t="str">
            <v>0700349052410474</v>
          </cell>
        </row>
        <row r="22">
          <cell r="E22" t="str">
            <v>ซ่อมแซมท่อส่งน้ำสาย LMCฝายน้ำสาวลูกที่ 2 โครงการชลประทานพะเยา ต.ขุนควร อ.ปง จ.พะเยา</v>
          </cell>
          <cell r="I22" t="str">
            <v>0700349052410475</v>
          </cell>
          <cell r="J22">
            <v>39800</v>
          </cell>
        </row>
        <row r="23">
          <cell r="E23" t="str">
    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    </cell>
          <cell r="I23" t="str">
            <v>0700349052410476</v>
          </cell>
          <cell r="J23">
            <v>23400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38996.1</v>
          </cell>
        </row>
        <row r="6">
          <cell r="J6">
            <v>22158.080000000002</v>
          </cell>
        </row>
        <row r="8">
          <cell r="J8">
            <v>46600</v>
          </cell>
        </row>
        <row r="10">
          <cell r="J10">
            <v>34926.559999999998</v>
          </cell>
        </row>
        <row r="11">
          <cell r="J11">
            <v>20686.669999999998</v>
          </cell>
        </row>
        <row r="16">
          <cell r="J16">
            <v>44498.8</v>
          </cell>
        </row>
        <row r="20">
          <cell r="J20">
            <v>17912</v>
          </cell>
        </row>
        <row r="21">
          <cell r="J21">
            <v>22901.01</v>
          </cell>
        </row>
        <row r="24">
          <cell r="E24" t="str">
            <v>ซ่อมแซมเพิ่มประสิทธิภาพ ปตร.นาเจริญโครงการชลประทานพะเยา ต.อ่างทอง อ.เชียงคำ จ.พะเยา</v>
          </cell>
          <cell r="I24" t="str">
            <v>0700349052410468</v>
          </cell>
          <cell r="J24">
            <v>22200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ซ่อมแซมระบบส่งน้ำคลอง RMCอ่างเก็บน้ำน้ำแหง(กลางพรด.)โครงการชลประทานน่าน อ.นาน้อย จ.น่าน</v>
          </cell>
          <cell r="I5" t="str">
            <v>0700349052410448</v>
          </cell>
          <cell r="J5">
            <v>62000</v>
          </cell>
        </row>
        <row r="6">
          <cell r="E6" t="str">
            <v>ซ่อมแซมคลองส่งน้ำ1R-RMCอ่างเก็บน้ำน้ำงอบโครงการชลประทานน่าน ต.งอบ อ.ทุ่งช้าง จ.น่าน</v>
          </cell>
          <cell r="I6" t="str">
            <v>0700349052410450</v>
          </cell>
          <cell r="J6">
            <v>37000</v>
          </cell>
        </row>
        <row r="7">
          <cell r="E7" t="str">
            <v>ซ่อมแซมระบบส่งน้ำคลอง LMCกม.5+890.7+700อ่างเก็บน้ำน้ำแหง(กลาง)โครงการชลประทานน่าน อ.นาน้อย จ.น่าน</v>
          </cell>
          <cell r="I7" t="str">
            <v>0700349052410451</v>
          </cell>
        </row>
        <row r="8">
          <cell r="E8" t="str">
            <v>ซ่อมแซมคลองส่งน้ำ LMCอ่างเก็บน้ำน้ำและกม.1+900ถึงกม2+000 โครงการชลประทานน่าน ต.และ อ.ทุ่งช้าง จ.น่าน</v>
          </cell>
          <cell r="I8" t="str">
            <v>0700349052410452</v>
          </cell>
        </row>
        <row r="9">
          <cell r="E9" t="str">
            <v>ซ่อมแซมคลองส่งน้ำRMCฝายน้ำสอดโครงการชลประทานน่าน ต.และ อ.ทุ่งช้าง จ.น่าน</v>
          </cell>
          <cell r="I9" t="str">
            <v>0700349052410453</v>
          </cell>
        </row>
        <row r="10">
          <cell r="E10" t="str">
    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    </cell>
          <cell r="I10" t="str">
            <v>0700349052410455</v>
          </cell>
          <cell r="J10">
            <v>44000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J7">
            <v>0</v>
          </cell>
        </row>
        <row r="8">
          <cell r="J8">
            <v>37989.5</v>
          </cell>
        </row>
        <row r="9">
          <cell r="J9">
            <v>38000</v>
          </cell>
        </row>
        <row r="11">
          <cell r="E11" t="str">
            <v>ซ่อมแซมอาคารป้องกันตลิ่งท้ายอ่างเก็บน้ำน้ำพง ต.พงษ์ อ.สันติสุข จ.น่าน</v>
          </cell>
          <cell r="I11" t="str">
            <v>0700349052410ZA2</v>
          </cell>
          <cell r="J11">
            <v>300000</v>
          </cell>
        </row>
        <row r="12">
          <cell r="E12" t="str">
            <v>ซ่อมแซมระบบส่งน้ำฝายนาบง(พมพ.)โครงการชลประทานน่าน ต.บ่อเกลือใต้ อ.บ่อเกลือ จ.น่าน</v>
          </cell>
          <cell r="I12" t="str">
            <v>0700349052410449</v>
          </cell>
          <cell r="J12">
            <v>40000</v>
          </cell>
        </row>
        <row r="13">
          <cell r="E13" t="str">
            <v>ซ่อมแซมระบบส่งน้ำฝายลูกที่ 4อ่างเก็บน้ำน้ำเกี๋ยน โครงการชลประทานน่าน ต.น้ำเกี๋ยน อ.ภูเพียง จ.น่าน</v>
          </cell>
          <cell r="I13" t="str">
            <v>0700349052410454</v>
          </cell>
          <cell r="J13">
            <v>41300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    </cell>
          <cell r="I5" t="str">
            <v>0700349052410364</v>
          </cell>
          <cell r="J5">
            <v>17500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ปรับปรุงคลองซอย36.7L-RMCกิ่วลม ต.บ้านเป้า อ.เมือง จ.ลำปาง</v>
          </cell>
          <cell r="I5" t="str">
            <v>0700349052420162</v>
          </cell>
          <cell r="J5">
            <v>530000</v>
          </cell>
        </row>
        <row r="6">
          <cell r="E6" t="str">
            <v>ปรับปรุงคลองซอย35.7L-RMCกิ่วลม ต.บ้านเป้า อ.เมือง จ.ลำปาง</v>
          </cell>
          <cell r="I6" t="str">
            <v>0700349052420163</v>
          </cell>
          <cell r="J6">
            <v>550000</v>
          </cell>
        </row>
        <row r="7">
          <cell r="E7" t="str">
    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    </cell>
          <cell r="I7" t="str">
            <v>0700349052420031</v>
          </cell>
          <cell r="J7">
            <v>418700</v>
          </cell>
        </row>
        <row r="8">
          <cell r="E8" t="str">
            <v>ปรับปรุงฝายแม่ไพรลูกที่ 5 พร้อมอาคารประกอบ ต.หนองหล่ม อ.ห้างฉัตร จ.ลำปาง</v>
          </cell>
          <cell r="I8" t="str">
            <v>0700349052420032</v>
          </cell>
          <cell r="J8">
            <v>479000</v>
          </cell>
        </row>
        <row r="9">
          <cell r="E9" t="str">
    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    </cell>
          <cell r="I9" t="str">
            <v>0700349052420036</v>
          </cell>
          <cell r="J9">
            <v>300000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0">
          <cell r="E10" t="str">
    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    </cell>
          <cell r="I10" t="str">
            <v>0700349052410181</v>
          </cell>
          <cell r="J10">
            <v>250000</v>
          </cell>
        </row>
        <row r="11">
          <cell r="E11" t="str">
            <v>ปรับปรุงคลองซอย8+034RMCกิ่วลม อ.เมือง จ.ลำปาง</v>
          </cell>
          <cell r="I11" t="str">
            <v>0700349052410183</v>
          </cell>
          <cell r="J11">
            <v>113000</v>
          </cell>
        </row>
        <row r="12">
          <cell r="E12" t="str">
            <v>ปรับปรุงคลองซอย18.3L-RMCกิ่วลม  อ.เมือง จ.ลำปาง</v>
          </cell>
          <cell r="I12" t="str">
            <v>0700349052410184</v>
          </cell>
          <cell r="J12">
            <v>182000</v>
          </cell>
        </row>
        <row r="13">
          <cell r="E13" t="str">
            <v>ปรับปรุงคลองซอย กม5+838 RMCกิ่วลม อ.เมือง จ.ลำปาง</v>
          </cell>
          <cell r="I13" t="str">
            <v>0700349052410185</v>
          </cell>
          <cell r="J13">
            <v>112000</v>
          </cell>
        </row>
        <row r="14">
          <cell r="E14" t="str">
            <v>ปรับปรุงระบายน้ำปลายคลอง คลองซอย 1.6L-RMCกิ่วลม11.2L-RMCกิ่วลมและคลองแยกซอย15.2L-RMCกิ่วลม อ.เมือง จ.ลำปาง</v>
          </cell>
          <cell r="I14" t="str">
            <v>0700349052410186</v>
          </cell>
          <cell r="J14">
            <v>128000</v>
          </cell>
        </row>
        <row r="15">
          <cell r="E15" t="str">
            <v>ปรับปรุงท่อส่งน้ำสนับสนุนแปลงใหญ่ 9 แห่ง คลองซอย 12 RMCกิ่วลม ต.ลำปางหลวง อ.เกาะคา จ.ลำปาง</v>
          </cell>
          <cell r="I15" t="str">
            <v>0700349052410180</v>
          </cell>
          <cell r="J15">
            <v>23000</v>
          </cell>
        </row>
        <row r="16">
          <cell r="E16" t="str">
            <v>ปรับปรุงอาคารอัดน้ำกลางคลอง RMC กิ่วคอมา จำนวน 3 แห่ง อ.แจ้ห่ม จ.ลำปาง</v>
          </cell>
          <cell r="I16" t="str">
            <v>0700349052410182</v>
          </cell>
          <cell r="J16">
            <v>280000</v>
          </cell>
        </row>
        <row r="17">
          <cell r="E17" t="str">
    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    </cell>
          <cell r="I17" t="str">
            <v>0700349052410187</v>
          </cell>
          <cell r="J17">
            <v>187000</v>
          </cell>
        </row>
        <row r="18">
          <cell r="E18" t="str">
    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    </cell>
          <cell r="I18" t="str">
            <v>0700349052410188</v>
          </cell>
          <cell r="J18">
            <v>23000</v>
          </cell>
        </row>
        <row r="19">
          <cell r="E19" t="str">
            <v>ปรับปรุงคลองแยกซอย คลองซอย 3 RMC  กิ่วคอหมา ต.แจ้ห่ม อ.แจ้ห่ม จ.ลำปาง</v>
          </cell>
          <cell r="I19" t="str">
            <v>0700349052410189</v>
          </cell>
          <cell r="J19">
            <v>210000</v>
          </cell>
        </row>
        <row r="20">
          <cell r="E20" t="str">
            <v>ปรับปรุงฝายห้วยแม่ไพรลูกที่ 6  พร้อมระบบส่งน้ำ ต.บ้านเป้า อ.เมือง จ.ลำปาง</v>
          </cell>
          <cell r="I20" t="str">
            <v>0700349052420033</v>
          </cell>
          <cell r="J20">
            <v>584000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ปรับปรุงบ่อพักน้ำปากคลองซอย 1R-LMC ต.ดงมะดะ อ.แม่ลาว จ.เชียงราย</v>
          </cell>
          <cell r="I5" t="str">
            <v>0700349052410016</v>
          </cell>
        </row>
        <row r="6">
          <cell r="E6" t="str">
            <v>ปรับปรุงอาคารอัดน้ำ RMCพร้อมติดตั้งเกียร์มอเตอร์ ต.ทรายขาว อ.พาน จ.เชียงราย</v>
          </cell>
          <cell r="J6">
            <v>36879</v>
          </cell>
        </row>
        <row r="7">
          <cell r="E7" t="str">
            <v>ปรับปรุงอาคารอัดน้ำ LMCพร้อมติดตั้งเกียร์มอเตอร์ ต.ดงมะดะ อ.แม่ลาว จ.เชียงราย</v>
          </cell>
        </row>
        <row r="8">
          <cell r="E8" t="str">
            <v>ปรับปรุงคลองซอย 10L-RMC ต.เมืองพาน อ.พาน จ.เชียงราย</v>
          </cell>
          <cell r="J8">
            <v>286500</v>
          </cell>
        </row>
        <row r="9">
          <cell r="E9" t="str">
            <v>ปรับปรุงประตูระบายน้ำเจ้าวรการบัญชาโครงการส่งน้ำและบำรุงรักษาแม่ลาว อ.พาน จ.เชียงราย</v>
          </cell>
          <cell r="I9" t="str">
            <v>0700349052420034</v>
          </cell>
          <cell r="J9">
            <v>1404000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4957</v>
          </cell>
        </row>
        <row r="8">
          <cell r="J8">
            <v>41736.1</v>
          </cell>
        </row>
        <row r="9">
          <cell r="J9">
            <v>39829.4</v>
          </cell>
        </row>
        <row r="12">
          <cell r="J12">
            <v>38000</v>
          </cell>
        </row>
        <row r="13">
          <cell r="J13">
            <v>2030</v>
          </cell>
        </row>
        <row r="14">
          <cell r="E14" t="str">
            <v>ซ่อมแซมทางระบายน้ำและหินคลุกสันทำนบอ่างเก็บน้ำแม่แมะ ต.ปงดอน อ.แจ้ห่ม จ.ลำปาง</v>
          </cell>
          <cell r="I14" t="str">
            <v>0700340084410151</v>
          </cell>
          <cell r="J14">
            <v>29000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90314.8</v>
          </cell>
        </row>
        <row r="6">
          <cell r="I6" t="str">
            <v>0700349052410190</v>
          </cell>
        </row>
        <row r="7">
          <cell r="I7" t="str">
            <v>0700349052410191</v>
          </cell>
          <cell r="J7">
            <v>10640</v>
          </cell>
        </row>
        <row r="8">
          <cell r="I8" t="str">
            <v>0700349052410192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    </cell>
          <cell r="I5" t="str">
            <v>0700349052410193</v>
          </cell>
          <cell r="J5">
            <v>264800</v>
          </cell>
        </row>
        <row r="6">
          <cell r="E6" t="str">
            <v>ปรับปรุงระบบระบายน้ำบ้านนาเจริญพร้อมอาคารประกอบ ต.อ่างทอง อ.เชียงคำ จ.พะเยา</v>
          </cell>
          <cell r="I6" t="str">
            <v>0700349052420037</v>
          </cell>
          <cell r="J6">
            <v>468700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ปรับปรุงระบบส่งน้ำฝั่งซ้ายอ่างเก็บน้ำน้ำพงและอาคารประกอบ(ขนาดกลาง) ต.พงษ์ อ.สันติสุข จ.น่าน</v>
          </cell>
          <cell r="I5" t="str">
            <v>0700349052420164</v>
          </cell>
          <cell r="J5">
            <v>408000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E6" t="str">
            <v>ปรับปรุงหัวงานฝายดอนแก้วและอาคารประกอบ ต.พระธาตุ อ.เชียงกลาง จ.น่าน</v>
          </cell>
          <cell r="I6" t="str">
            <v>0700349052420035</v>
          </cell>
          <cell r="J6">
            <v>394000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ค่าศึกษา</v>
          </cell>
          <cell r="I5" t="str">
            <v>0700349052420002</v>
          </cell>
        </row>
        <row r="6">
          <cell r="E6" t="str">
            <v>ค่าสำรวจ</v>
          </cell>
          <cell r="I6" t="str">
            <v>0700349052420002</v>
          </cell>
        </row>
        <row r="7">
          <cell r="E7" t="str">
            <v>ค่าออกแบบ</v>
          </cell>
          <cell r="I7" t="str">
            <v>0700349052420002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3080000</v>
          </cell>
        </row>
        <row r="6">
          <cell r="J6">
            <v>5524000</v>
          </cell>
        </row>
        <row r="7">
          <cell r="J7">
            <v>3085000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โครงการปรับปรุงโครงข่ายหมุดหลักฐานทางราบและทางดิ่งในพื้นที่ลุ่มน้ำเจ้าพระยา ระยะที่ 2 และลุ่มน้ำยม  กทม.</v>
          </cell>
          <cell r="I5" t="str">
            <v>0700349052420020</v>
          </cell>
          <cell r="J5">
            <v>474918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โครงการติดตามผลกระทบแผ่นดินไหว 7 โครงการ กรุงเทพมหานคร</v>
          </cell>
          <cell r="I5" t="str">
            <v>0700349052410004</v>
          </cell>
          <cell r="J5">
            <v>209500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ซ่อมแซมระบบไฟฟ้าเครื่องมือตรวจวัดพฤติกรรมเขื่อนพร้อมระบบส่งข้อมูลอัตโนมัติเขื่อนแม่ต๋ำ จ.พะเยา</v>
          </cell>
          <cell r="J5">
            <v>1059000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0700349052410002</v>
          </cell>
        </row>
        <row r="6">
          <cell r="E6" t="str">
            <v>ซ่อมแซมเครื่องมือตรวจวัดพฤติกรรมเขื่อนพร้อมระบบส่งข้อมูลอัตโนมัติเขื่อนกิ่วคอหมา อ.แจ้ห่ม จ.ลำปาง</v>
          </cell>
          <cell r="I6" t="str">
            <v>0700349052410002</v>
          </cell>
          <cell r="J6">
            <v>216000</v>
          </cell>
        </row>
        <row r="7">
          <cell r="E7" t="str">
            <v>ซ่อมเครื่องมือตรวจวัดพฤติกรรมเขื่อนทำนบดินปิดช่องเขาต่ำเขื่อนกิ่วคอหมา อ.แจ้ห่ม จ.ลำปาง</v>
          </cell>
          <cell r="I7" t="str">
            <v>0700349052410002</v>
          </cell>
          <cell r="J7">
            <v>499000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ซ่อมแซมท่อส่งน้ำบ้านขุนน้ำต้มโครางการหลวงปางค่า ต.ผาช้างน้อย อ.ปง จ.พะเยา</v>
          </cell>
          <cell r="I5" t="str">
            <v>0700340084410158</v>
          </cell>
          <cell r="J5">
            <v>46000</v>
          </cell>
        </row>
        <row r="6">
          <cell r="E6" t="str">
            <v>ซ่อมแซมคลองส่งน้ำสายป้อมตำรวจอ่างเก็บน้ำห้วยม่วง(ห้วยแฮ่)ต.บ้านตุ่น อ.เมือง จ.พะเยา</v>
          </cell>
          <cell r="I6" t="str">
            <v>0700340084410174</v>
          </cell>
          <cell r="J6">
            <v>14000</v>
          </cell>
        </row>
        <row r="7">
          <cell r="E7" t="str">
            <v>ซ่อมแซมคลองส่งน้ำสายทุ่งขามกม.0+800ถึงกม.1+600อ่างเก็บน้ำห้วยไฟ ต.ป่าสัก อ.ภูซาง จ.พะเยา</v>
          </cell>
          <cell r="I7" t="str">
            <v>0700340084410175</v>
          </cell>
          <cell r="J7">
            <v>42000</v>
          </cell>
        </row>
        <row r="8">
          <cell r="E8" t="str">
            <v>ซ่อมแซมคลองส่งน้ำสายงฝายต้นไฮ อ่างเก็บน้ำห้วยไฟ ต.ภูซาง อ.ภูซาง จ.พะเยา</v>
          </cell>
          <cell r="I8" t="str">
            <v>0700340084410176</v>
          </cell>
          <cell r="J8">
            <v>32700</v>
          </cell>
        </row>
        <row r="9">
          <cell r="E9" t="str">
            <v>ซ่อมแซมคลองส่งน้ำสาย2L-LMC-4L-LMCอ่างเก็บน้ำห้วยสา ต.ร่มเย็น อ.เชียงคำ จ.พะเยา</v>
          </cell>
          <cell r="I9" t="str">
            <v>0700340084410177</v>
          </cell>
          <cell r="J9">
            <v>23400</v>
          </cell>
        </row>
        <row r="10">
          <cell r="E10" t="str">
            <v>ซ่อมแซมคลองส่งน้ำสายวังเตากลางอ่างเก็บน้ำร่องส้าน ต.ใหม่ร่มเย็น อ.เชียงคำ จ.พะเยา</v>
          </cell>
          <cell r="I10" t="str">
            <v>0700340084410178</v>
          </cell>
          <cell r="J10">
            <v>23400</v>
          </cell>
        </row>
        <row r="11">
          <cell r="E11" t="str">
            <v>ซ่อมแซมคลองส่งน้ำสายทุ่งกลางอ่างเก็บน้ำห้วยไฟ ต.ภูซาง อ.ภูซาง จ.พะเยา</v>
          </cell>
          <cell r="I11" t="str">
            <v>0700340084410179</v>
          </cell>
          <cell r="J11">
            <v>18600</v>
          </cell>
        </row>
        <row r="12">
          <cell r="E12" t="str">
            <v>ซ่อมแซมคลองส่งน้ำสายทุ่งเหลายาวอ่างเก็บน้ำห้วยยัด ต.แม่ลาว อ.เชียงคำ จ.พะเยา</v>
          </cell>
          <cell r="I12" t="str">
            <v>0700340084410180</v>
          </cell>
          <cell r="J12">
            <v>14100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โครงการเพิ่มพื้นที่สีเขียวและปรับปรุงภูมิทัศน์บริเวณรอบหัวงานสำนักงานชลประทานที่ 2 จ.ลำปาง</v>
          </cell>
          <cell r="I5" t="str">
            <v>0700349052420018</v>
          </cell>
          <cell r="J5">
            <v>1200000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สถานีสูบน้ำด้วยไฟฟ้าพร้อมระบบส่งน้ำบ้านหนองหอย ต.เวียงมอก อ.เถิน จ.ลำปาง</v>
          </cell>
          <cell r="I5" t="str">
            <v>0700349053420094</v>
          </cell>
          <cell r="J5">
            <v>380000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แก้มลิงฝายร่องไผ่พร้อมอาคารประกอบ ต.ห้วยแก้ว อ.ภูกามยาว จ.พะเยา</v>
          </cell>
          <cell r="I5" t="str">
            <v>0700349053420274</v>
          </cell>
          <cell r="J5">
            <v>400800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อ่างเก็บน้ำน้ำกิ จ.น่าน(ถนนเข้าหัวงาน 8.00กม.)</v>
          </cell>
          <cell r="I5" t="str">
            <v>0700349053420195</v>
          </cell>
          <cell r="J5">
            <v>1143800</v>
          </cell>
        </row>
        <row r="6">
          <cell r="E6" t="str">
    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    </cell>
          <cell r="I6" t="str">
            <v>0700349053420195</v>
          </cell>
        </row>
        <row r="7">
          <cell r="E7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7" t="str">
            <v>0700349053420195</v>
          </cell>
          <cell r="J7">
            <v>555600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1300100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ค่าสำรวจแผนที่ภูมิประเทศอ่างเก็บน้ำห้วยแม่เคียนอันเนื่องมาจากพระราชดำริ ต.ปงเตา อ.งาว จ.ลำปาง(หัวงานและอาคารประกอบ)</v>
          </cell>
          <cell r="I5" t="str">
            <v>0700349053410093</v>
          </cell>
          <cell r="J5">
            <v>977100</v>
          </cell>
        </row>
        <row r="6">
          <cell r="E6" t="str">
            <v>ค่าสำรวจแผนที่ภูมิประเทศระบบส่งน้ำพร้อมอาคารประกอบอ่างเก็บน้ำแม่อ้อน2อันเนื่องมาจากพระราชดำริต.บ้านอ้อน อ.งาว จ.ลำปาง(ระบบชลประทานและอาคารประกอบ)</v>
          </cell>
          <cell r="I6" t="str">
            <v>0700349053410094</v>
          </cell>
          <cell r="J6">
            <v>933800</v>
          </cell>
        </row>
        <row r="7">
          <cell r="E7" t="str">
            <v>ค่าสำรวจแผนที่ภูมิประเทศอ่างเก็บน้ำแม่สุยอันเนื่องมาจากพระราชดำริ ต.บ้านค่า อ.เมือง จ.ลำปาง(หัวงานและอาคารประกอบ)</v>
          </cell>
          <cell r="I7" t="str">
            <v>0700349053410095</v>
          </cell>
          <cell r="J7">
            <v>739700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อ่างเก็บน้ำน้ำกิ จ.น่าน(ถนนเข้าหัวงาน 8.00กม.)</v>
          </cell>
          <cell r="I5" t="str">
            <v>0700349053420194</v>
          </cell>
          <cell r="J5">
            <v>518560</v>
          </cell>
        </row>
        <row r="6">
          <cell r="E6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6" t="str">
            <v>0700349053420194</v>
          </cell>
        </row>
        <row r="7">
          <cell r="E7" t="str">
    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    </cell>
          <cell r="I7" t="str">
            <v>0700349053420194</v>
          </cell>
          <cell r="J7">
            <v>1925700</v>
          </cell>
        </row>
        <row r="8">
          <cell r="E8" t="str">
            <v>อ่างเก็บน้ำห้วยแหน ต.ป่าตัน อ.แม่ทะ จ.ลำปาง</v>
          </cell>
          <cell r="I8" t="str">
            <v>0700349053420194</v>
          </cell>
          <cell r="J8">
            <v>814500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2139850</v>
          </cell>
        </row>
        <row r="14">
          <cell r="E14" t="str">
            <v>อ่างเก็บน้ำห้วยแม่ตีบ ต.จางเหนือ อ.แม่เมาะ จ.ลำปาง</v>
          </cell>
          <cell r="I14" t="str">
            <v>0700349053420194</v>
          </cell>
          <cell r="J14">
            <v>585600</v>
          </cell>
        </row>
        <row r="15">
          <cell r="E15" t="str">
            <v>อ่างเก็บน้ำห้วยต้นผึ้ง ต.แม่นาเรือ อ.เมือง จ.พะเยา</v>
          </cell>
          <cell r="I15" t="str">
            <v>0700349053420194</v>
          </cell>
          <cell r="J15">
            <v>585600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9">
          <cell r="E9" t="str">
            <v>อ่างเก็บน้ำห้วยเดื่ออันเนื่องมาจากพระราชดำริ ต.บ้านแลง อ.เมือง จ.ลำปาง</v>
          </cell>
          <cell r="I9" t="str">
            <v>0700349053420194</v>
          </cell>
          <cell r="J9">
            <v>86000</v>
          </cell>
        </row>
        <row r="10">
          <cell r="E10" t="str">
            <v>อ่างเก็บน้ำแม่ยอนตอนบนอันเนื่องมาจากพระราชดำริ ต.สันดอนแก้ว อ.แม่ทะ จ.ลำปาง</v>
          </cell>
          <cell r="J10">
            <v>92000</v>
          </cell>
        </row>
        <row r="11">
          <cell r="E11" t="str">
            <v>อ่างเก็บน้ำห้วยขี้เหล็กอันเนื่องมาจากพระราชดำริ ต.ครั่ง อ.เชียงของ จ.เชียงราย</v>
          </cell>
          <cell r="J11">
            <v>92400</v>
          </cell>
        </row>
        <row r="12">
          <cell r="E12" t="str">
            <v>อ่างเก็บน้ำแม่ทานอันเนื่องมาจากพระราชดำริ ต.แม่ทะ อ.สบปราบ จ.ลำปาง</v>
          </cell>
          <cell r="J12">
            <v>153900</v>
          </cell>
        </row>
        <row r="13">
          <cell r="E13" t="str">
            <v>อ่างเก็บน้ำบ้านแม่แก่ง ต.แม่ถอด อ.เถิน จ.ลำปาง</v>
          </cell>
          <cell r="J13">
            <v>104300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ค่าสำรวจธรณีและปฐพีวิทยาอ่างเก็บน้ำห้วยแม่เคียนอันเนื่องมาจากพระราชดำริ ต.ตงเปา อ.งาว จ.ลำปาง(หัวงานและอาคารประกอบ)</v>
          </cell>
          <cell r="I5" t="str">
            <v>0700349053410101</v>
          </cell>
          <cell r="J5">
            <v>1432400</v>
          </cell>
        </row>
        <row r="6">
          <cell r="E6" t="str">
            <v>ค่าสำรวจธรณีและปฐพีวิทยาอ่างเก็บน้ำแม่สุยอันเนื่องมาจากพระราชดำริ ต.บ้านค่า อ.เมือง จ.ลำปาง(หัวงานและอาคารประกอบ)</v>
          </cell>
          <cell r="I6" t="str">
            <v>0700349053410102</v>
          </cell>
          <cell r="J6">
            <v>973400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ซ่อมแซมคลองส่งน้ำเหมืองนาโฮ่งงฝายลูกที่1 อ่างเก็บน้ำน้ำแก่น(พรด.)ต.น้ำแก่น อ.ภูเพียง จ.น่าน</v>
          </cell>
          <cell r="I5" t="str">
            <v>0700340084410181</v>
          </cell>
        </row>
        <row r="6">
          <cell r="E6" t="str">
            <v>ซ่อมแซมคลองส่งน้ำ 1L-LMCฝายน้ำสอด(พรด.)ต.และอ.ทุ่งช้าง จ.น่าน</v>
          </cell>
          <cell r="I6" t="str">
            <v>0700340084410182</v>
          </cell>
        </row>
        <row r="7">
          <cell r="E7" t="str">
            <v>ซ่อมแซมอ่างเก็บน้ำบ้านน้ำว้า(พรด.)ต.น้ำพาง อ.แม่จริม จ.น่าน</v>
          </cell>
          <cell r="I7" t="str">
            <v>0700340084410184</v>
          </cell>
        </row>
        <row r="8">
          <cell r="E8" t="str">
            <v>ซ่อมแซมคลองส่งน้ำ LMCอ่างเก็บน้ำน้ำและ กม.0+500ถึง กม.0+603(พรด.)ต.และ อ.ทุ่งช้าง จ.น่าน</v>
          </cell>
          <cell r="I8" t="str">
            <v>0700340084410187</v>
          </cell>
        </row>
        <row r="9">
          <cell r="E9" t="str">
            <v>ซ่อมแซมคลองส่งน้ำ2R-RMCอ่างเก็บน้ำน้ำปอน กม.1+000ถึงกม.1+125(พรด.)ต.ปอน อ.ทุ่งช้าง จ.น่าน</v>
          </cell>
          <cell r="I9" t="str">
            <v>0700340084410188</v>
          </cell>
        </row>
        <row r="10">
          <cell r="E10" t="str">
            <v>ซ่อมแซมระบบส่งน้ำฝั่งขวาฝายน้ำอวน(พรด.) ต.อวน อ.ปัว จ.น่าน</v>
          </cell>
          <cell r="I10" t="str">
            <v>0700340084410189</v>
          </cell>
          <cell r="J10">
            <v>41300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โครงการอ่างเก็บน้ำแม่พริก(ผาวิ่งชู้) จ.ลำปาง(งานปักหลักเขตชลประทาน)</v>
          </cell>
          <cell r="J5">
            <v>342100</v>
          </cell>
        </row>
        <row r="6">
          <cell r="E6" t="str">
            <v>โครงการส่งน้ำและบำรุงรักษากิ่วลม-กิ่งคอหมา จ.ลำปาง(งานซ่อมเขตชลประทาน)</v>
          </cell>
          <cell r="J6">
            <v>1602000</v>
          </cell>
        </row>
        <row r="7">
          <cell r="E7" t="str">
            <v>โครงการชลประทานเชียงราย(โครงการพัฒนาเกษตรแม่สาย) จ.เชียงราย(งานซ่อมเขตชลประทาน)</v>
          </cell>
          <cell r="J7">
            <v>1450000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0700349053200046</v>
          </cell>
        </row>
        <row r="6">
          <cell r="I6" t="str">
            <v>0700349053200046</v>
          </cell>
        </row>
        <row r="7">
          <cell r="I7" t="str">
            <v>0700349053200046</v>
          </cell>
        </row>
        <row r="8">
          <cell r="E8" t="str">
            <v>โครงการระบบชลประทานกิ่วลม 3 (งานซ่อมเขตชลประทาน)</v>
          </cell>
          <cell r="I8" t="str">
            <v>0700349053200046</v>
          </cell>
          <cell r="J8">
            <v>386700</v>
          </cell>
        </row>
        <row r="9">
          <cell r="E9" t="str">
            <v>โครงการอ่างเก็บน้ำห้วยแม่เมาะ อันเนื่องมาจากพระราชดำริ จ.พะเยา(งานปักหลักเขตชลประทาน)</v>
          </cell>
          <cell r="I9" t="str">
            <v>0700349053200046</v>
          </cell>
          <cell r="J9">
            <v>268800</v>
          </cell>
        </row>
        <row r="10">
          <cell r="E10" t="str">
            <v>โครงการประตูระบายน้ำน้ำอิงบ้านร่องวิว จ.เชียงราย(งานรังวัดที่ดินเพื่อการชลประทาน)</v>
          </cell>
          <cell r="I10" t="str">
            <v>0700349053200046</v>
          </cell>
          <cell r="J10">
            <v>40925</v>
          </cell>
        </row>
        <row r="11">
          <cell r="E11" t="str">
            <v>โครงการชลประทานเชียงราย(โครงการฝายเชียงราย) จ.เชียงราย(งานซ่อมเขตชลประทาน)</v>
          </cell>
          <cell r="I11" t="str">
            <v>0700349053200046</v>
          </cell>
          <cell r="J11">
            <v>226175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ค่าใช้จ่ายในการบริหารงานจัดหาที่ดิน  ฝ่ายจัดหาที่ดิน 2</v>
          </cell>
          <cell r="I5" t="str">
            <v>0700349053200062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3703650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ฝายห้วยธนูพร้อมระบบส่งน้ำ ต.ตาลชุม อ.ท่าวังผ่า จ.น่าน</v>
          </cell>
          <cell r="I5" t="str">
            <v>0700349053420009</v>
          </cell>
          <cell r="J5">
            <v>303000</v>
          </cell>
        </row>
        <row r="6">
          <cell r="E6" t="str">
            <v>ฝายห้วยป้าก 1 พร้อมระบบส่งน้ำ ต.ตาลชุม อ.ท่าวังผา จ.น่าน</v>
          </cell>
          <cell r="I6" t="str">
            <v>0700349053420010</v>
          </cell>
          <cell r="J6">
            <v>357500</v>
          </cell>
        </row>
        <row r="7">
          <cell r="E7" t="str">
            <v>ฝายห้วยป้าก 2 พร้อมระบบส่งน้ำ ต.ตาลชุม อ.ท่าวังผา จ.น่าน</v>
          </cell>
          <cell r="I7" t="str">
            <v>0700349053420011</v>
          </cell>
          <cell r="J7">
            <v>231200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เขื่อนหัวงานและอาคารประกอบพร้อมส่วนประกอบอื่นโครงการปับปรุงเขื่อนแม่สรวย จ.เชียงราย</v>
          </cell>
          <cell r="I5" t="str">
            <v>0700349054420038</v>
          </cell>
          <cell r="J5">
            <v>29090300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0700349054420039</v>
          </cell>
          <cell r="J6">
            <v>398100</v>
          </cell>
        </row>
        <row r="7">
          <cell r="E7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0700349054410024</v>
          </cell>
          <cell r="J7">
            <v>509100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    </cell>
          <cell r="I5" t="str">
            <v>0700349054420060</v>
          </cell>
        </row>
        <row r="6">
          <cell r="E6" t="str">
    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    </cell>
          <cell r="I6" t="str">
            <v>0700349054420119</v>
          </cell>
        </row>
        <row r="7">
          <cell r="E7" t="str">
    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    </cell>
          <cell r="I7" t="str">
            <v>0700349054410001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640000</v>
          </cell>
        </row>
        <row r="6">
          <cell r="J6">
            <v>963000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J7">
            <v>313540.99</v>
          </cell>
        </row>
        <row r="8">
          <cell r="J8">
            <v>1679900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อาคารป้องกันตลิ่งท้ายอ่างเก็บน้ำน้ำพง ระยะ 2 ต.พงษ์ อ.สันติสุข จ.น่าน</v>
          </cell>
          <cell r="I5" t="str">
            <v>0700349054420116</v>
          </cell>
          <cell r="J5">
            <v>1030000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59399.8</v>
          </cell>
        </row>
        <row r="6">
          <cell r="J6">
            <v>38000</v>
          </cell>
        </row>
        <row r="7">
          <cell r="J7">
            <v>42100</v>
          </cell>
        </row>
        <row r="8">
          <cell r="J8">
            <v>38000</v>
          </cell>
        </row>
        <row r="9">
          <cell r="J9">
            <v>38000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ระบบห้องประชุมทางไกลผ่านวีดีทัศน์ (Video conference) ขนาดผู้เข้าร่วมประชุม 10 ท่าน</v>
          </cell>
          <cell r="I5" t="str">
            <v>0700349054110001</v>
          </cell>
          <cell r="J5">
            <v>1700000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    </cell>
          <cell r="I5" t="str">
            <v>07003280A5420018</v>
          </cell>
          <cell r="J5">
            <v>607300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ฝายสบสถานพร้อมระบบส่งน้ำ ต.บัวใหญ่ อ.นาน้อย จ.น่าน</v>
          </cell>
          <cell r="I5" t="str">
            <v>07003280A5420007</v>
          </cell>
          <cell r="J5">
            <v>378000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สำนักงาชลประทานที่ 2 ต.สวนดอก จ.ลำปาง</v>
          </cell>
          <cell r="I5" t="str">
            <v>0700356001410094</v>
          </cell>
          <cell r="J5">
            <v>1000000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ปรับปรุงสะพานคอนกรีตเสริมเหล็กคลอง RMCกิ่วลม กม.8+204 โครงการส่งน้ำและบำรุงรักษากิ่วลม-กิ่วคอหมา ต.บุญนาคพัฒนา อ.เมือง จ.ลำปาง</v>
          </cell>
          <cell r="I5" t="str">
            <v>0700356001410001</v>
          </cell>
          <cell r="J5">
            <v>108000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 สำนักงานชลประทานที่ 2 ต.ชมพู อ.เมือง จ.ลำปาง</v>
          </cell>
          <cell r="I5" t="str">
            <v>0700356001110002</v>
          </cell>
          <cell r="J5">
            <v>451000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จ.พะเยา(งานซ่อมเขตชลประทาน)</v>
          </cell>
          <cell r="I5" t="str">
            <v>0700349056200002</v>
          </cell>
          <cell r="J5">
            <v>217200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I5" t="str">
            <v>909094001564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J5">
            <v>36291472.07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กำจัดวัชพืชภายในอ่างเก็บน้ำเขื่อนกิ่วลม โครงการส่งน้ำและบำรุงรักษากิ่วลม-กิ่วคอหมา ต.บ้านแลง อ.เมือง จ.ลำปาง</v>
          </cell>
          <cell r="I5" t="str">
            <v>0700356001410669</v>
          </cell>
          <cell r="J5">
            <v>547565.55000000005</v>
          </cell>
        </row>
        <row r="6">
          <cell r="E6" t="str">
            <v>กำจัดวัชพืชโครงการส่งน้ำและบำรุงรักษาแม่วัง ต.บ้านแลง อ.เมือง จ.ลำปาง</v>
          </cell>
          <cell r="I6" t="str">
            <v>0700356001410668</v>
          </cell>
          <cell r="J6">
            <v>686806.45</v>
          </cell>
        </row>
        <row r="7">
          <cell r="E7" t="str">
            <v>กำจัดวัชพืชคลองระบายห้วยผาตันโครงการส่งน้ำและบำรุงรักษากิ่วลม-กิ่วคอหมา ต.บุญนาคพัฒนา อ.เมือง จ.ลำปาง</v>
          </cell>
          <cell r="I7" t="str">
            <v>0700356001410670</v>
          </cell>
          <cell r="J7">
            <v>78211</v>
          </cell>
        </row>
        <row r="8">
          <cell r="E8" t="str">
            <v>กำจัดวัชพืชคลองระบายห้วยหลวงโครงการส่งน้ำและบำรุงรักษากิ่วลม-กิ่วคอหมา ต.บุญนาคพัฒนา อ.เมือง จ.ลำปาง</v>
          </cell>
          <cell r="I8" t="str">
            <v>0700356001410671</v>
          </cell>
          <cell r="J8">
            <v>104886</v>
          </cell>
        </row>
        <row r="9">
          <cell r="E9" t="str">
            <v>กำจัดวัชพืชคลองระบายห้วยแม่ตุ๋ยโครงการส่งน้ำและบำรุงรักษากิ่วลม-กิ่วคอหมา ต.บ้านเป้า อ.เมือง จ.ลำปาง</v>
          </cell>
          <cell r="I9" t="str">
            <v>0700356001410672</v>
          </cell>
          <cell r="J9">
            <v>168316</v>
          </cell>
        </row>
        <row r="10">
          <cell r="E10" t="str">
            <v>กำจัดวัชพืชบริเวณโครงการส่งน้ำและบำรุงรักษาแม่ลาว ต.ดงมะดะ อ.แม่ลาว จ.เชียงราย</v>
          </cell>
          <cell r="I10" t="str">
            <v>0700356001410673</v>
          </cell>
          <cell r="J10">
            <v>686089.25</v>
          </cell>
        </row>
        <row r="11">
          <cell r="E11" t="str">
            <v>กำจัดวัชพืชโครงการชลประทานน่าน ต.ไชยสถาน อ.เมือง จ.น่าน</v>
          </cell>
          <cell r="I11" t="str">
            <v>0700356001410674</v>
          </cell>
          <cell r="J11">
            <v>484344.4</v>
          </cell>
        </row>
        <row r="12">
          <cell r="E12" t="str">
            <v>กำจัดวัชพืชบริเวณโครงการชลประทานลำปาง ต.บ่อแฮ้ว อ.เมือง จ.ลำปาง</v>
          </cell>
          <cell r="I12" t="str">
            <v>0700356001410675</v>
          </cell>
          <cell r="J12">
            <v>603175.4</v>
          </cell>
        </row>
        <row r="13">
          <cell r="E13" t="str">
            <v>กำจัดวัชพืชโครงการพัฒนาการเกษตรแม่สาย โครงการชลประทานเชียงราย ต.แม่สาย อ.แม่สาย จ.เชียงราย</v>
          </cell>
          <cell r="I13" t="str">
            <v>0700356001410B74</v>
          </cell>
          <cell r="J13">
            <v>321167.7</v>
          </cell>
        </row>
        <row r="14">
          <cell r="E14" t="str">
            <v>กำจัดวัชพืชคลอง LMCอ่างเก็บน้ำแม่ต๊าก โครงการชลประทานเชียงราย ต.ดอนศิลา อ.เวียงชัย จ.เชียงราย</v>
          </cell>
          <cell r="I14" t="str">
            <v>0700356001410B75</v>
          </cell>
          <cell r="J14">
            <v>170140.1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ปรับปรุงระบบส่งน้ำงายสวยโฮ่ง ระยะ2 ต.นาโป่ง อ.เถิน จ.ลำปาง</v>
          </cell>
          <cell r="I5" t="str">
            <v>0700340084410436</v>
          </cell>
          <cell r="J5">
            <v>179000</v>
          </cell>
        </row>
        <row r="6">
          <cell r="E6" t="str">
            <v>ระบบส่งน้ำอ่างเก็บน้ำแม่ไพร(ฝายทุ่งเก้ามุ่น) ต.วอแก้ว อ.ห้างฉัตร จ.ลำปาง</v>
          </cell>
          <cell r="I6" t="str">
            <v>0700340084410437</v>
          </cell>
          <cell r="J6">
            <v>211000</v>
          </cell>
        </row>
        <row r="7">
          <cell r="E7" t="str">
            <v>ระบบส่งน้ำอ่างเก็บน้ำแม่แมะ ต.เมืองปาน อ.เมืองปาน จ.ลำปาง</v>
          </cell>
          <cell r="I7" t="str">
            <v>0700340084420017</v>
          </cell>
          <cell r="J7">
            <v>465000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ขุดลอกคลองโดยรถขุดดำเนินการเองคลองส่งน้ำแม่วังฝั่งขวาโครงการส่งน้ำและบำรุงรักษาแม่วัง จ.ลำปาง</v>
          </cell>
          <cell r="I5" t="str">
            <v>0700349052410W61</v>
          </cell>
          <cell r="J5">
            <v>116989.25</v>
          </cell>
        </row>
        <row r="6">
          <cell r="E6" t="str">
            <v>ขุดลอกคลองโดยเรือขุดดำเนินการเอง แม่น้ำวังท้ายเขื่อนกิ่วคอหมา กม.19+000 - กม.24+500 โครงการส่งน่ำน้ำบำรุงรักษากิ่วลม กิ่วคอหมา ต.บ้านสา อ.แจ้ห่ม จ.ลำปาง</v>
          </cell>
          <cell r="I6" t="str">
            <v>0700349052410W13</v>
          </cell>
          <cell r="J6">
            <v>7100000</v>
          </cell>
        </row>
        <row r="7">
          <cell r="E7" t="str">
            <v>เพิ่มประสิทธิภาพการกักเก็บน้ำอ่างเก็บน้ำเขื่อนกิ่วลม จ.ลำปาง</v>
          </cell>
          <cell r="I7" t="str">
            <v>0700349052410ZJ1</v>
          </cell>
          <cell r="J7">
            <v>1779770</v>
          </cell>
        </row>
        <row r="8">
          <cell r="E8" t="str">
            <v>เพิ่มประสิทธิภาพการกักเก็บน้ำเขื่อนกิ่วลม จ.ลำปาง</v>
          </cell>
          <cell r="I8" t="str">
            <v>0700349052410ZJ3</v>
          </cell>
          <cell r="J8">
            <v>1779770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เพิ่มประสิทธิภาพการกักเก็บน้ำเขื่อนกิ่วลม จ.ลำปาง</v>
          </cell>
          <cell r="I5" t="str">
            <v>0700349054410116</v>
          </cell>
          <cell r="J5">
            <v>6396000</v>
          </cell>
        </row>
        <row r="6">
          <cell r="E6" t="str">
            <v>กำจัดสิ่งกีดขวางทางน้ำแม่วังด้านท้ายเขื่อนกิ่วคอหมา จ.ลำปาง</v>
          </cell>
          <cell r="I6" t="str">
            <v>0700349054410066</v>
          </cell>
          <cell r="J6">
            <v>7235770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ฝายต้นลำใยพร้อมระบบส่งน้ำ  ต.เสริมขวา อ.เสริมงาม จ.ลำปาง</v>
          </cell>
          <cell r="I5" t="str">
            <v>0700349053420008</v>
          </cell>
          <cell r="J5">
            <v>23049063.850000001</v>
          </cell>
        </row>
        <row r="6">
          <cell r="E6" t="str">
            <v>ฝายห้วยพระเจ้าพร้อมระบบส่งน้ำ ต.แม่สุก อ.แจ้ห่ม จ.ลำปาง</v>
          </cell>
          <cell r="I6" t="str">
            <v>0700349053420007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ห้วยเตึย"/>
    </sheetNames>
    <sheetDataSet>
      <sheetData sheetId="0">
        <row r="5">
          <cell r="E5" t="str">
            <v>ฝายห้วยเตียพร้อมระบบส่งน้ำ ต.แม่สุก อ.แจ้ห่ม จ.ลำปาง</v>
          </cell>
          <cell r="I5" t="str">
            <v>07003280A5420006</v>
          </cell>
          <cell r="J5">
            <v>41820259.049999997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โครงการจัดหาน้ำสนับสนุนโครงการเดินตามรอยเท้าพ่อ (เกษตรอินทรีย์)ค่ายสุรศักดิ์มนตรี อ.เมือง จ.ลำปาง</v>
          </cell>
          <cell r="I5" t="str">
            <v>90909400152D</v>
          </cell>
          <cell r="J5">
            <v>15000000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0700345054410026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0700345054420038</v>
          </cell>
        </row>
        <row r="6">
          <cell r="E6" t="str">
    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0700345054420039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ค่าควบคุมงานจ้างเหมาโครงการปรับปรุงเขื่อนแม่สรวย จ.เชียงราย</v>
          </cell>
          <cell r="I5" t="str">
            <v>0700341029410043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0700341029420135</v>
          </cell>
        </row>
        <row r="8">
          <cell r="E8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8" t="str">
            <v>0700341029420076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โครงการฝายแม่อางบ้านน้ำล้อมอันเนื่องมาจากพระราชดำริ อ.เมือง จ.ลำปาง</v>
          </cell>
          <cell r="I5" t="str">
            <v>9090938015E8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งานถังพักน้ำอ่างเก็บน้ำห้วยสร้อยศรี ต.จุน อ.จุน จ.พะเยา</v>
          </cell>
          <cell r="I5" t="str">
            <v>0700340084410438</v>
          </cell>
          <cell r="J5">
            <v>37000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โครงการอ่างเก็บน้ำห้วยเฮี้ยพร้อมระบบส่งน้ำอันเนื่องมาจากพระราชดำริ อ.เมือง จ.ลำปาง</v>
          </cell>
          <cell r="I5" t="str">
            <v>9090938015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เพิ่มประสิทธิภาพการกักเก็บน้ำอ่างเก็บน้ำเขื่อนกิ่วลม จ.ลำปาง</v>
          </cell>
        </row>
        <row r="7">
          <cell r="E7" t="str">
            <v>กำจัดสิ่งกีดขวางทางแม่น้ำวังด้านท้ายเขื่อนกิ่วคอหมา จ.ลำปาง</v>
          </cell>
        </row>
        <row r="8">
          <cell r="E8" t="str">
            <v>เพิ่มประสิทธิภาพการกักเก็บน้ำเขื่อนกิ่วลม จ.ลำปาง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07003630X1410B99</v>
          </cell>
        </row>
        <row r="6">
          <cell r="I6" t="str">
            <v>07003630X1410C04</v>
          </cell>
        </row>
        <row r="7">
          <cell r="I7" t="str">
            <v>07003630X1410C05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    </cell>
          <cell r="I5" t="str">
            <v>0700340084420008</v>
          </cell>
          <cell r="J5">
            <v>405000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E6" t="str">
            <v>ฝายห้วยแฮต2 พร้อมระบบส่งน้ำโครงการพัฒนาพื้นที่สูงแบบโครงการหลวงสะเนียน ต.สะเนียน อ.เมือง จ.น่าน</v>
          </cell>
          <cell r="I6" t="str">
            <v>0700340084410421</v>
          </cell>
          <cell r="J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5"/>
  <sheetViews>
    <sheetView tabSelected="1" topLeftCell="D1" zoomScale="115" zoomScaleNormal="115" workbookViewId="0">
      <pane ySplit="4" topLeftCell="A143" activePane="bottomLeft" state="frozen"/>
      <selection pane="bottomLeft" activeCell="K146" sqref="K146"/>
    </sheetView>
  </sheetViews>
  <sheetFormatPr defaultColWidth="9" defaultRowHeight="23.25" x14ac:dyDescent="0.5"/>
  <cols>
    <col min="1" max="1" width="4.625" style="1" customWidth="1"/>
    <col min="2" max="2" width="87.75" style="1" customWidth="1"/>
    <col min="3" max="3" width="15.5" style="14" customWidth="1"/>
    <col min="4" max="4" width="7.75" style="14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6.87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21" width="9" style="1"/>
    <col min="22" max="22" width="20.25" style="1" customWidth="1"/>
    <col min="23" max="16384" width="9" style="1"/>
  </cols>
  <sheetData>
    <row r="1" spans="1:22" ht="33" customHeight="1" x14ac:dyDescent="0.6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2" x14ac:dyDescent="0.5">
      <c r="A2" s="100" t="s">
        <v>0</v>
      </c>
      <c r="B2" s="101"/>
      <c r="C2" s="25"/>
      <c r="D2" s="104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2" ht="26.25" customHeight="1" x14ac:dyDescent="0.5">
      <c r="A3" s="102"/>
      <c r="B3" s="103"/>
      <c r="C3" s="26"/>
      <c r="D3" s="10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  <c r="T3" s="16">
        <f>P4+H4</f>
        <v>90736255.810000002</v>
      </c>
    </row>
    <row r="4" spans="1:22" ht="30.75" customHeight="1" x14ac:dyDescent="0.5">
      <c r="A4" s="4"/>
      <c r="B4" s="4" t="s">
        <v>17</v>
      </c>
      <c r="C4" s="4"/>
      <c r="D4" s="4"/>
      <c r="E4" s="5">
        <f t="shared" ref="E4" si="0">F4+G4</f>
        <v>90736255.810000002</v>
      </c>
      <c r="F4" s="5">
        <f>F5+F42+F135+F175+F188+F191+F195</f>
        <v>31619300</v>
      </c>
      <c r="G4" s="5">
        <f>G5+G42+G135+G175+G188+G191+G195+G132</f>
        <v>59116955.810000002</v>
      </c>
      <c r="H4" s="5">
        <f t="shared" ref="H4" si="1">J4+K4</f>
        <v>47491308.049999997</v>
      </c>
      <c r="I4" s="5">
        <f>H4*100/E4</f>
        <v>52.339946833871899</v>
      </c>
      <c r="J4" s="5">
        <f>J5+J42+J135+J175+J188+J191+J195</f>
        <v>2130900</v>
      </c>
      <c r="K4" s="5">
        <f>K5+K42+K135+K175+K188+K191+K195+K132</f>
        <v>45360408.049999997</v>
      </c>
      <c r="L4" s="5">
        <f>N4+O4</f>
        <v>0</v>
      </c>
      <c r="M4" s="5">
        <f>L4*100/E4</f>
        <v>0</v>
      </c>
      <c r="N4" s="5">
        <f>N5+N42+N135+N175+N188+N191</f>
        <v>0</v>
      </c>
      <c r="O4" s="5">
        <f>O5+O42+O135+O175+O188+O191</f>
        <v>0</v>
      </c>
      <c r="P4" s="5">
        <f>E4-H4-L4</f>
        <v>43244947.760000005</v>
      </c>
      <c r="Q4" s="5">
        <f>P4*100/E4</f>
        <v>47.660053166128115</v>
      </c>
      <c r="R4" s="5">
        <f t="shared" ref="R4" si="2">F4-J4-N4</f>
        <v>29488400</v>
      </c>
      <c r="S4" s="5">
        <f>G4-K4-O4</f>
        <v>13756547.760000005</v>
      </c>
      <c r="T4" s="16">
        <f>I4+M4+Q4</f>
        <v>100.00000000000001</v>
      </c>
    </row>
    <row r="5" spans="1:22" ht="30" customHeight="1" x14ac:dyDescent="0.5">
      <c r="A5" s="10"/>
      <c r="B5" s="20" t="s">
        <v>21</v>
      </c>
      <c r="C5" s="20"/>
      <c r="D5" s="23"/>
      <c r="E5" s="21">
        <f>G5+F5</f>
        <v>2040952.3</v>
      </c>
      <c r="F5" s="22">
        <f>F6+F17+F26+F33+F37+F39</f>
        <v>0</v>
      </c>
      <c r="G5" s="21">
        <f>G6+G17+G26+G33+G37+G39</f>
        <v>2040952.3</v>
      </c>
      <c r="H5" s="22">
        <f>K5+J5</f>
        <v>1829924.16</v>
      </c>
      <c r="I5" s="22">
        <f>H5*100/E5</f>
        <v>89.660310042522795</v>
      </c>
      <c r="J5" s="22">
        <f>J6+J17+J26+J33+J37+J39</f>
        <v>0</v>
      </c>
      <c r="K5" s="22">
        <f>K6+K17+K26+K33+K37+K39</f>
        <v>1829924.16</v>
      </c>
      <c r="L5" s="22">
        <f>O5+N5</f>
        <v>0</v>
      </c>
      <c r="M5" s="20"/>
      <c r="N5" s="22">
        <f>N6+N17+N26+N33+N37+N39</f>
        <v>0</v>
      </c>
      <c r="O5" s="22">
        <f>O6+O17+O26+O33+O37+O39</f>
        <v>0</v>
      </c>
      <c r="P5" s="22">
        <f>S5+R5</f>
        <v>211028.14000000013</v>
      </c>
      <c r="Q5" s="21">
        <f>P5*100/E5</f>
        <v>10.33968995747721</v>
      </c>
      <c r="R5" s="22">
        <f>F5-J5-N5</f>
        <v>0</v>
      </c>
      <c r="S5" s="22">
        <f>G5-K5-O5</f>
        <v>211028.14000000013</v>
      </c>
      <c r="T5" s="16">
        <f>Q5+I5</f>
        <v>100</v>
      </c>
      <c r="V5" s="16"/>
    </row>
    <row r="6" spans="1:22" ht="28.5" customHeight="1" x14ac:dyDescent="0.5">
      <c r="A6" s="9"/>
      <c r="B6" s="18" t="s">
        <v>22</v>
      </c>
      <c r="C6" s="24"/>
      <c r="D6" s="24"/>
      <c r="E6" s="19">
        <f>F6+G6</f>
        <v>272952.5</v>
      </c>
      <c r="F6" s="19">
        <f>SUM(F7:F15)</f>
        <v>0</v>
      </c>
      <c r="G6" s="19">
        <f>SUM(G7:G16)</f>
        <v>272952.5</v>
      </c>
      <c r="H6" s="19">
        <f>J6+K6</f>
        <v>266176.23</v>
      </c>
      <c r="I6" s="19">
        <f>H6*100/E6</f>
        <v>97.51741786574587</v>
      </c>
      <c r="J6" s="19">
        <f>SUM(J7:J15)</f>
        <v>0</v>
      </c>
      <c r="K6" s="19">
        <f>SUM(K7:K16)</f>
        <v>266176.23</v>
      </c>
      <c r="L6" s="19">
        <f>N6+O6</f>
        <v>0</v>
      </c>
      <c r="M6" s="19">
        <f>L6*100/E6</f>
        <v>0</v>
      </c>
      <c r="N6" s="19">
        <f>SUM(N7:N15)</f>
        <v>0</v>
      </c>
      <c r="O6" s="19">
        <f>SUM(O7:O15)</f>
        <v>0</v>
      </c>
      <c r="P6" s="19">
        <f t="shared" ref="P6" si="3">R6+S6</f>
        <v>6776.2700000000186</v>
      </c>
      <c r="Q6" s="19">
        <f>P6*100/E6</f>
        <v>2.4825821342541352</v>
      </c>
      <c r="R6" s="19">
        <f t="shared" ref="R6" si="4">F6-J6-N6</f>
        <v>0</v>
      </c>
      <c r="S6" s="19">
        <f t="shared" ref="S6" si="5">G6-K6-O6</f>
        <v>6776.2700000000186</v>
      </c>
      <c r="T6" s="16"/>
      <c r="V6" s="16"/>
    </row>
    <row r="7" spans="1:22" s="46" customFormat="1" ht="33" customHeight="1" x14ac:dyDescent="0.5">
      <c r="A7" s="44">
        <v>1</v>
      </c>
      <c r="B7" s="39" t="str">
        <f>[1]รายการสรุป!$E$5</f>
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</c>
      <c r="C7" s="39" t="str">
        <f>[1]รายการสรุป!$I$5</f>
        <v>0700340084410148</v>
      </c>
      <c r="D7" s="29" t="s">
        <v>23</v>
      </c>
      <c r="E7" s="52">
        <f t="shared" ref="E7" si="6">F7+G7</f>
        <v>4957</v>
      </c>
      <c r="F7" s="52">
        <v>0</v>
      </c>
      <c r="G7" s="53">
        <f>[2]รายการสรุป!$J$5</f>
        <v>4957</v>
      </c>
      <c r="H7" s="52">
        <f t="shared" ref="H7" si="7">J7+K7</f>
        <v>4957</v>
      </c>
      <c r="I7" s="52">
        <f t="shared" ref="I7" si="8">H7*100/E7</f>
        <v>100</v>
      </c>
      <c r="J7" s="52">
        <v>0</v>
      </c>
      <c r="K7" s="52">
        <f>1280+2397+1280</f>
        <v>4957</v>
      </c>
      <c r="L7" s="52">
        <f t="shared" ref="L7" si="9">N7+O7</f>
        <v>0</v>
      </c>
      <c r="M7" s="52">
        <f t="shared" ref="M7" si="10">L7*100/E7</f>
        <v>0</v>
      </c>
      <c r="N7" s="52">
        <v>0</v>
      </c>
      <c r="O7" s="52">
        <v>0</v>
      </c>
      <c r="P7" s="52">
        <f t="shared" ref="P7" si="11">R7+S7</f>
        <v>0</v>
      </c>
      <c r="Q7" s="52">
        <f t="shared" ref="Q7" si="12">P7*100/E7</f>
        <v>0</v>
      </c>
      <c r="R7" s="52">
        <f t="shared" ref="R7" si="13">F7-J7-N7</f>
        <v>0</v>
      </c>
      <c r="S7" s="52">
        <f t="shared" ref="S7" si="14">G7-K7-O7</f>
        <v>0</v>
      </c>
      <c r="T7" s="45"/>
    </row>
    <row r="8" spans="1:22" ht="30" customHeight="1" x14ac:dyDescent="0.5">
      <c r="A8" s="9">
        <v>2</v>
      </c>
      <c r="B8" s="11" t="str">
        <f>[1]รายการสรุป!$E$6</f>
        <v>ซ่อมแซมคลองส่งน้ำอ่างเก็บน้ำแม่ไพร(เหมืองทุ่งโฮ้ง)ต.วอแก้ว อ.ห้างฉัตร จ.ลำปาง</v>
      </c>
      <c r="C8" s="11" t="str">
        <f>[1]รายการสรุป!$I$6</f>
        <v>0700340084410149</v>
      </c>
      <c r="D8" s="29" t="s">
        <v>23</v>
      </c>
      <c r="E8" s="52">
        <f t="shared" ref="E8:E15" si="15">F8+G8</f>
        <v>38000</v>
      </c>
      <c r="F8" s="52">
        <v>0</v>
      </c>
      <c r="G8" s="53">
        <f>[1]รายการสรุป!$J$6</f>
        <v>38000</v>
      </c>
      <c r="H8" s="52">
        <f t="shared" ref="H8:H15" si="16">J8+K8</f>
        <v>37495.730000000003</v>
      </c>
      <c r="I8" s="52">
        <f t="shared" ref="I8:I15" si="17">H8*100/E8</f>
        <v>98.672973684210532</v>
      </c>
      <c r="J8" s="52">
        <v>0</v>
      </c>
      <c r="K8" s="52">
        <f>10095+7349.01+3606+5880+10565.72</f>
        <v>37495.730000000003</v>
      </c>
      <c r="L8" s="52">
        <f t="shared" ref="L8:L15" si="18">N8+O8</f>
        <v>0</v>
      </c>
      <c r="M8" s="52">
        <f t="shared" ref="M8:M15" si="19">L8*100/E8</f>
        <v>0</v>
      </c>
      <c r="N8" s="52">
        <v>0</v>
      </c>
      <c r="O8" s="52">
        <v>0</v>
      </c>
      <c r="P8" s="52">
        <f t="shared" ref="P8:P18" si="20">R8+S8</f>
        <v>504.2699999999968</v>
      </c>
      <c r="Q8" s="52">
        <f t="shared" ref="Q8:Q15" si="21">P8*100/E8</f>
        <v>1.3270263157894653</v>
      </c>
      <c r="R8" s="52">
        <f t="shared" ref="R8:R18" si="22">F8-J8-N8</f>
        <v>0</v>
      </c>
      <c r="S8" s="52">
        <f t="shared" ref="S8:S18" si="23">G8-K8-O8</f>
        <v>504.2699999999968</v>
      </c>
    </row>
    <row r="9" spans="1:22" ht="30.75" customHeight="1" x14ac:dyDescent="0.5">
      <c r="A9" s="9">
        <v>3</v>
      </c>
      <c r="B9" s="11" t="str">
        <f>[1]รายการสรุป!$E$7</f>
        <v>ซ่อมแซมระบบส่งน้ำฝั่งซ้ายอ่างเก็บน้ำแม่ตา ต.ปงดอน อ.แจ้ห่ม จ.ลำปาง</v>
      </c>
      <c r="C9" s="11" t="str">
        <f>[1]รายการสรุป!$I$7</f>
        <v>0700340084410150</v>
      </c>
      <c r="D9" s="29" t="s">
        <v>23</v>
      </c>
      <c r="E9" s="52">
        <f t="shared" si="15"/>
        <v>28000</v>
      </c>
      <c r="F9" s="52">
        <v>0</v>
      </c>
      <c r="G9" s="53">
        <f>[1]รายการสรุป!$J$7</f>
        <v>28000</v>
      </c>
      <c r="H9" s="52">
        <f t="shared" si="16"/>
        <v>27367</v>
      </c>
      <c r="I9" s="52">
        <f t="shared" si="17"/>
        <v>97.739285714285714</v>
      </c>
      <c r="J9" s="52">
        <v>0</v>
      </c>
      <c r="K9" s="52">
        <f>6480+2320+7130+11437</f>
        <v>27367</v>
      </c>
      <c r="L9" s="52">
        <f t="shared" si="18"/>
        <v>0</v>
      </c>
      <c r="M9" s="52">
        <f t="shared" si="19"/>
        <v>0</v>
      </c>
      <c r="N9" s="52">
        <v>0</v>
      </c>
      <c r="O9" s="52">
        <v>0</v>
      </c>
      <c r="P9" s="52">
        <f t="shared" si="20"/>
        <v>633</v>
      </c>
      <c r="Q9" s="52">
        <f t="shared" si="21"/>
        <v>2.2607142857142857</v>
      </c>
      <c r="R9" s="52">
        <f t="shared" si="22"/>
        <v>0</v>
      </c>
      <c r="S9" s="52">
        <f t="shared" si="23"/>
        <v>633</v>
      </c>
      <c r="T9" s="16">
        <f>I9+M9+Q9</f>
        <v>100</v>
      </c>
    </row>
    <row r="10" spans="1:22" ht="30" customHeight="1" x14ac:dyDescent="0.5">
      <c r="A10" s="9">
        <v>4</v>
      </c>
      <c r="B10" s="11" t="str">
        <f>[1]รายการสรุป!$E$8</f>
        <v>ซ่อมแซมระบบส่งน้ำฝั่งซ้ายอ่างเก็บน้ำแม่ยาว ต.แม่สัน อ.ห้างฉัตร จ.ลำปาง</v>
      </c>
      <c r="C10" s="11" t="str">
        <f>[1]รายการสรุป!$I$8</f>
        <v>0700340084410152</v>
      </c>
      <c r="D10" s="29" t="s">
        <v>23</v>
      </c>
      <c r="E10" s="52">
        <f t="shared" si="15"/>
        <v>41736.1</v>
      </c>
      <c r="F10" s="52">
        <v>0</v>
      </c>
      <c r="G10" s="53">
        <f>[2]รายการสรุป!$J$8</f>
        <v>41736.1</v>
      </c>
      <c r="H10" s="52">
        <f t="shared" si="16"/>
        <v>41736.100000000006</v>
      </c>
      <c r="I10" s="52">
        <f t="shared" si="17"/>
        <v>100.00000000000001</v>
      </c>
      <c r="J10" s="52">
        <v>0</v>
      </c>
      <c r="K10" s="52">
        <f>5590+8728.7+17457.4+4721+1280+3959</f>
        <v>41736.100000000006</v>
      </c>
      <c r="L10" s="52">
        <f t="shared" si="18"/>
        <v>0</v>
      </c>
      <c r="M10" s="52">
        <f t="shared" si="19"/>
        <v>0</v>
      </c>
      <c r="N10" s="52">
        <v>0</v>
      </c>
      <c r="O10" s="52">
        <v>0</v>
      </c>
      <c r="P10" s="52">
        <f t="shared" si="20"/>
        <v>-7.2759576141834259E-12</v>
      </c>
      <c r="Q10" s="52">
        <f t="shared" si="21"/>
        <v>-1.743324751038891E-14</v>
      </c>
      <c r="R10" s="52">
        <f t="shared" si="22"/>
        <v>0</v>
      </c>
      <c r="S10" s="52">
        <f t="shared" si="23"/>
        <v>-7.2759576141834259E-12</v>
      </c>
    </row>
    <row r="11" spans="1:22" ht="30" customHeight="1" x14ac:dyDescent="0.5">
      <c r="A11" s="9">
        <v>5</v>
      </c>
      <c r="B11" s="11" t="str">
        <f>[1]รายการสรุป!$E$9</f>
        <v>ซ่อมแซมระบบส่งน้ำฝายน้ำงาว ต.หลวงเหนือ อ.งาว จ.ลำปาง</v>
      </c>
      <c r="C11" s="11" t="str">
        <f>[1]รายการสรุป!$I$9</f>
        <v>0700340084410153</v>
      </c>
      <c r="D11" s="29" t="s">
        <v>23</v>
      </c>
      <c r="E11" s="52">
        <f t="shared" si="15"/>
        <v>39829.4</v>
      </c>
      <c r="F11" s="52">
        <v>0</v>
      </c>
      <c r="G11" s="53">
        <f>[2]รายการสรุป!$J$9</f>
        <v>39829.4</v>
      </c>
      <c r="H11" s="52">
        <f>J11+K11</f>
        <v>39829.399999999994</v>
      </c>
      <c r="I11" s="52">
        <f t="shared" si="17"/>
        <v>99.999999999999986</v>
      </c>
      <c r="J11" s="52">
        <v>0</v>
      </c>
      <c r="K11" s="52">
        <f>16840+8331.85+5532+9125.55</f>
        <v>39829.399999999994</v>
      </c>
      <c r="L11" s="52">
        <f t="shared" si="18"/>
        <v>0</v>
      </c>
      <c r="M11" s="52">
        <f t="shared" si="19"/>
        <v>0</v>
      </c>
      <c r="N11" s="52">
        <v>0</v>
      </c>
      <c r="O11" s="52">
        <v>0</v>
      </c>
      <c r="P11" s="52">
        <f t="shared" si="20"/>
        <v>7.2759576141834259E-12</v>
      </c>
      <c r="Q11" s="52">
        <f t="shared" si="21"/>
        <v>1.8267806229025359E-14</v>
      </c>
      <c r="R11" s="52">
        <f t="shared" si="22"/>
        <v>0</v>
      </c>
      <c r="S11" s="52">
        <f t="shared" si="23"/>
        <v>7.2759576141834259E-12</v>
      </c>
    </row>
    <row r="12" spans="1:22" ht="30" customHeight="1" x14ac:dyDescent="0.5">
      <c r="A12" s="9">
        <v>6</v>
      </c>
      <c r="B12" s="11" t="str">
        <f>[1]รายการสรุป!$E$10</f>
        <v>ซ่อมแซมอาคารบังคับน้ำอ่างเก็บน้ำแม่ปอน ต.แม่สัน อ.ห้างฉัตร จ.ลำปาง</v>
      </c>
      <c r="C12" s="11" t="str">
        <f>[1]รายการสรุป!$I$10</f>
        <v>0700340084410154</v>
      </c>
      <c r="D12" s="29" t="s">
        <v>23</v>
      </c>
      <c r="E12" s="52">
        <f t="shared" si="15"/>
        <v>4400</v>
      </c>
      <c r="F12" s="52">
        <v>0</v>
      </c>
      <c r="G12" s="53">
        <f>[1]รายการสรุป!$J$10</f>
        <v>4400</v>
      </c>
      <c r="H12" s="52">
        <f t="shared" si="16"/>
        <v>4400</v>
      </c>
      <c r="I12" s="52">
        <f t="shared" si="17"/>
        <v>100</v>
      </c>
      <c r="J12" s="52">
        <v>0</v>
      </c>
      <c r="K12" s="52">
        <f>3120+1280</f>
        <v>4400</v>
      </c>
      <c r="L12" s="52">
        <f t="shared" si="18"/>
        <v>0</v>
      </c>
      <c r="M12" s="52">
        <f t="shared" si="19"/>
        <v>0</v>
      </c>
      <c r="N12" s="52">
        <v>0</v>
      </c>
      <c r="O12" s="52">
        <v>0</v>
      </c>
      <c r="P12" s="52">
        <f t="shared" si="20"/>
        <v>0</v>
      </c>
      <c r="Q12" s="52">
        <f t="shared" si="21"/>
        <v>0</v>
      </c>
      <c r="R12" s="52">
        <f t="shared" si="22"/>
        <v>0</v>
      </c>
      <c r="S12" s="52">
        <f t="shared" si="23"/>
        <v>0</v>
      </c>
    </row>
    <row r="13" spans="1:22" ht="30" customHeight="1" x14ac:dyDescent="0.5">
      <c r="A13" s="9">
        <v>7</v>
      </c>
      <c r="B13" s="11" t="str">
        <f>[1]รายการสรุป!$E$11</f>
        <v>ซ่อมแซมระบบส่งน้ำอ่างเก็บน้ำแม่เกี๋ยง(เหมืองขวาบน) ต.เมืองยาว อ.ห้างฉัตร จ.ลำปาง</v>
      </c>
      <c r="C13" s="11" t="str">
        <f>[1]รายการสรุป!$I$11</f>
        <v>0700340084410155</v>
      </c>
      <c r="D13" s="29" t="s">
        <v>23</v>
      </c>
      <c r="E13" s="52">
        <f t="shared" si="15"/>
        <v>47000</v>
      </c>
      <c r="F13" s="52">
        <v>0</v>
      </c>
      <c r="G13" s="53">
        <f>[1]รายการสรุป!$J$11</f>
        <v>47000</v>
      </c>
      <c r="H13" s="52">
        <f t="shared" si="16"/>
        <v>46996</v>
      </c>
      <c r="I13" s="52">
        <f t="shared" si="17"/>
        <v>99.991489361702122</v>
      </c>
      <c r="J13" s="52">
        <v>0</v>
      </c>
      <c r="K13" s="52">
        <f>14700+8776+13200+9280+1040</f>
        <v>46996</v>
      </c>
      <c r="L13" s="52">
        <f t="shared" si="18"/>
        <v>0</v>
      </c>
      <c r="M13" s="52">
        <f t="shared" si="19"/>
        <v>0</v>
      </c>
      <c r="N13" s="52">
        <v>0</v>
      </c>
      <c r="O13" s="52">
        <v>0</v>
      </c>
      <c r="P13" s="52">
        <f t="shared" si="20"/>
        <v>4</v>
      </c>
      <c r="Q13" s="52">
        <f t="shared" si="21"/>
        <v>8.5106382978723406E-3</v>
      </c>
      <c r="R13" s="52">
        <f t="shared" si="22"/>
        <v>0</v>
      </c>
      <c r="S13" s="52">
        <f t="shared" si="23"/>
        <v>4</v>
      </c>
    </row>
    <row r="14" spans="1:22" ht="30" customHeight="1" x14ac:dyDescent="0.5">
      <c r="A14" s="9">
        <v>8</v>
      </c>
      <c r="B14" s="11" t="str">
        <f>[1]รายการสรุป!$E$12</f>
        <v>ซ่อมแซมคลองส่งน้ำอ่างเก็บน้ำแม่เกี๋ยง(เหมืองขวาล่าง) ต.เมืองยาว อ.ห้างฉัตร จ.ลำปาง</v>
      </c>
      <c r="C14" s="11" t="str">
        <f>[1]รายการสรุป!$I$12</f>
        <v>0700340084410156</v>
      </c>
      <c r="D14" s="29" t="s">
        <v>23</v>
      </c>
      <c r="E14" s="52">
        <f t="shared" si="15"/>
        <v>38000</v>
      </c>
      <c r="F14" s="52">
        <v>0</v>
      </c>
      <c r="G14" s="53">
        <f>[2]รายการสรุป!$J$12</f>
        <v>38000</v>
      </c>
      <c r="H14" s="52">
        <f t="shared" si="16"/>
        <v>37965</v>
      </c>
      <c r="I14" s="52">
        <f t="shared" si="17"/>
        <v>99.90789473684211</v>
      </c>
      <c r="J14" s="52">
        <v>0</v>
      </c>
      <c r="K14" s="52">
        <f>11920+21760+4285</f>
        <v>37965</v>
      </c>
      <c r="L14" s="52">
        <f t="shared" si="18"/>
        <v>0</v>
      </c>
      <c r="M14" s="52">
        <f t="shared" si="19"/>
        <v>0</v>
      </c>
      <c r="N14" s="52">
        <v>0</v>
      </c>
      <c r="O14" s="52">
        <v>0</v>
      </c>
      <c r="P14" s="52">
        <f t="shared" si="20"/>
        <v>35</v>
      </c>
      <c r="Q14" s="52">
        <f t="shared" si="21"/>
        <v>9.2105263157894732E-2</v>
      </c>
      <c r="R14" s="52">
        <f t="shared" si="22"/>
        <v>0</v>
      </c>
      <c r="S14" s="52">
        <f>G14-K14-O14</f>
        <v>35</v>
      </c>
    </row>
    <row r="15" spans="1:22" ht="32.25" customHeight="1" x14ac:dyDescent="0.5">
      <c r="A15" s="9">
        <v>9</v>
      </c>
      <c r="B15" s="11" t="str">
        <f>[1]รายการสรุป!$E$13</f>
        <v>ซ่อมแซมอาคารบังคับน้ำอ่างเก็บน้ำห้วยแม่แมะ ต.ปงดอน อ.แจ้ห่ม จ.ลำปาง</v>
      </c>
      <c r="C15" s="11" t="str">
        <f>[1]รายการสรุป!$I$13</f>
        <v>0700340084410157</v>
      </c>
      <c r="D15" s="29" t="s">
        <v>23</v>
      </c>
      <c r="E15" s="52">
        <f t="shared" si="15"/>
        <v>2030</v>
      </c>
      <c r="F15" s="52">
        <v>0</v>
      </c>
      <c r="G15" s="53">
        <f>[2]รายการสรุป!$J$13</f>
        <v>2030</v>
      </c>
      <c r="H15" s="52">
        <f t="shared" si="16"/>
        <v>2030</v>
      </c>
      <c r="I15" s="52">
        <f t="shared" si="17"/>
        <v>100</v>
      </c>
      <c r="J15" s="52">
        <v>0</v>
      </c>
      <c r="K15" s="52">
        <f>1760+270</f>
        <v>2030</v>
      </c>
      <c r="L15" s="52">
        <f t="shared" si="18"/>
        <v>0</v>
      </c>
      <c r="M15" s="52">
        <f t="shared" si="19"/>
        <v>0</v>
      </c>
      <c r="N15" s="52">
        <v>0</v>
      </c>
      <c r="O15" s="52">
        <v>0</v>
      </c>
      <c r="P15" s="52">
        <f t="shared" si="20"/>
        <v>0</v>
      </c>
      <c r="Q15" s="52">
        <f t="shared" si="21"/>
        <v>0</v>
      </c>
      <c r="R15" s="52">
        <f t="shared" si="22"/>
        <v>0</v>
      </c>
      <c r="S15" s="52">
        <f t="shared" si="23"/>
        <v>0</v>
      </c>
    </row>
    <row r="16" spans="1:22" ht="32.25" customHeight="1" x14ac:dyDescent="0.5">
      <c r="A16" s="9">
        <v>10</v>
      </c>
      <c r="B16" s="11" t="str">
        <f>[2]รายการสรุป!$E$14</f>
        <v>ซ่อมแซมทางระบายน้ำและหินคลุกสันทำนบอ่างเก็บน้ำแม่แมะ ต.ปงดอน อ.แจ้ห่ม จ.ลำปาง</v>
      </c>
      <c r="C16" s="11" t="str">
        <f>[2]รายการสรุป!$I$14</f>
        <v>0700340084410151</v>
      </c>
      <c r="D16" s="29" t="s">
        <v>51</v>
      </c>
      <c r="E16" s="52">
        <f t="shared" ref="E16" si="24">F16+G16</f>
        <v>29000</v>
      </c>
      <c r="F16" s="52">
        <v>0</v>
      </c>
      <c r="G16" s="53">
        <f>[2]รายการสรุป!$J$14</f>
        <v>29000</v>
      </c>
      <c r="H16" s="52">
        <f t="shared" ref="H16" si="25">J16+K16</f>
        <v>23400</v>
      </c>
      <c r="I16" s="52">
        <f t="shared" ref="I16" si="26">H16*100/E16</f>
        <v>80.689655172413794</v>
      </c>
      <c r="J16" s="52">
        <v>0</v>
      </c>
      <c r="K16" s="52">
        <f>8520+12320+1280+1280</f>
        <v>23400</v>
      </c>
      <c r="L16" s="52">
        <f t="shared" ref="L16" si="27">N16+O16</f>
        <v>0</v>
      </c>
      <c r="M16" s="52">
        <f t="shared" ref="M16" si="28">L16*100/E16</f>
        <v>0</v>
      </c>
      <c r="N16" s="52">
        <v>0</v>
      </c>
      <c r="O16" s="52">
        <v>0</v>
      </c>
      <c r="P16" s="52">
        <f t="shared" ref="P16" si="29">R16+S16</f>
        <v>5600</v>
      </c>
      <c r="Q16" s="52">
        <f t="shared" ref="Q16" si="30">P16*100/E16</f>
        <v>19.310344827586206</v>
      </c>
      <c r="R16" s="52">
        <f t="shared" ref="R16" si="31">F16-J16-N16</f>
        <v>0</v>
      </c>
      <c r="S16" s="52">
        <f t="shared" ref="S16" si="32">G16-K16-O16</f>
        <v>5600</v>
      </c>
    </row>
    <row r="17" spans="1:20" ht="30" customHeight="1" x14ac:dyDescent="0.5">
      <c r="A17" s="9"/>
      <c r="B17" s="18" t="s">
        <v>24</v>
      </c>
      <c r="C17" s="18"/>
      <c r="D17" s="24"/>
      <c r="E17" s="19">
        <f>F17+G17</f>
        <v>214200</v>
      </c>
      <c r="F17" s="19">
        <f>SUM(F18:F34)</f>
        <v>0</v>
      </c>
      <c r="G17" s="19">
        <f>SUM(G18:G25)</f>
        <v>214200</v>
      </c>
      <c r="H17" s="19">
        <f>J17+K17</f>
        <v>170850.48</v>
      </c>
      <c r="I17" s="19">
        <f>H17*100/E17</f>
        <v>79.762128851540609</v>
      </c>
      <c r="J17" s="19">
        <f>SUM(J18:J34)</f>
        <v>0</v>
      </c>
      <c r="K17" s="19">
        <f>SUM(K18:K25)</f>
        <v>170850.48</v>
      </c>
      <c r="L17" s="19">
        <f>N17+O17</f>
        <v>0</v>
      </c>
      <c r="M17" s="19">
        <f>L17*100/E17</f>
        <v>0</v>
      </c>
      <c r="N17" s="19">
        <f>SUM(N18:N34)</f>
        <v>0</v>
      </c>
      <c r="O17" s="19">
        <f>SUM(O18:O34)</f>
        <v>0</v>
      </c>
      <c r="P17" s="19">
        <f t="shared" si="20"/>
        <v>43349.51999999999</v>
      </c>
      <c r="Q17" s="19">
        <f>P17*100/E17</f>
        <v>20.23787114845938</v>
      </c>
      <c r="R17" s="19">
        <f t="shared" si="22"/>
        <v>0</v>
      </c>
      <c r="S17" s="19">
        <f t="shared" si="23"/>
        <v>43349.51999999999</v>
      </c>
    </row>
    <row r="18" spans="1:20" ht="29.25" customHeight="1" x14ac:dyDescent="0.5">
      <c r="A18" s="9">
        <v>11</v>
      </c>
      <c r="B18" s="11" t="str">
        <f>[3]รายการสรุป!$E$5</f>
        <v>ซ่อมแซมท่อส่งน้ำบ้านขุนน้ำต้มโครางการหลวงปางค่า ต.ผาช้างน้อย อ.ปง จ.พะเยา</v>
      </c>
      <c r="C18" s="39" t="str">
        <f>[3]รายการสรุป!$I$5</f>
        <v>0700340084410158</v>
      </c>
      <c r="D18" s="29" t="s">
        <v>23</v>
      </c>
      <c r="E18" s="52">
        <f t="shared" ref="E18" si="33">F18+G18</f>
        <v>46000</v>
      </c>
      <c r="F18" s="52">
        <v>0</v>
      </c>
      <c r="G18" s="53">
        <f>[3]รายการสรุป!$J$5</f>
        <v>46000</v>
      </c>
      <c r="H18" s="52">
        <f t="shared" ref="H18" si="34">J18+K18</f>
        <v>35270</v>
      </c>
      <c r="I18" s="52">
        <f t="shared" ref="I18" si="35">H18*100/E18</f>
        <v>76.673913043478265</v>
      </c>
      <c r="J18" s="52">
        <v>0</v>
      </c>
      <c r="K18" s="52">
        <f>7280+16090+11900</f>
        <v>35270</v>
      </c>
      <c r="L18" s="52">
        <f t="shared" ref="L18" si="36">N18+O18</f>
        <v>0</v>
      </c>
      <c r="M18" s="52">
        <f t="shared" ref="M18" si="37">L18*100/E18</f>
        <v>0</v>
      </c>
      <c r="N18" s="52">
        <v>0</v>
      </c>
      <c r="O18" s="52">
        <v>0</v>
      </c>
      <c r="P18" s="52">
        <f t="shared" si="20"/>
        <v>10730</v>
      </c>
      <c r="Q18" s="52">
        <f t="shared" ref="Q18" si="38">P18*100/E18</f>
        <v>23.326086956521738</v>
      </c>
      <c r="R18" s="52">
        <f t="shared" si="22"/>
        <v>0</v>
      </c>
      <c r="S18" s="52">
        <f t="shared" si="23"/>
        <v>10730</v>
      </c>
    </row>
    <row r="19" spans="1:20" ht="29.25" customHeight="1" x14ac:dyDescent="0.5">
      <c r="A19" s="9">
        <v>12</v>
      </c>
      <c r="B19" s="11" t="str">
        <f>[3]รายการสรุป!$E$6</f>
        <v>ซ่อมแซมคลองส่งน้ำสายป้อมตำรวจอ่างเก็บน้ำห้วยม่วง(ห้วยแฮ่)ต.บ้านตุ่น อ.เมือง จ.พะเยา</v>
      </c>
      <c r="C19" s="39" t="str">
        <f>[3]รายการสรุป!$I$6</f>
        <v>0700340084410174</v>
      </c>
      <c r="D19" s="29" t="s">
        <v>23</v>
      </c>
      <c r="E19" s="52">
        <f t="shared" ref="E19:E23" si="39">F19+G19</f>
        <v>14000</v>
      </c>
      <c r="F19" s="52">
        <v>0</v>
      </c>
      <c r="G19" s="53">
        <f>[3]รายการสรุป!$J$6</f>
        <v>14000</v>
      </c>
      <c r="H19" s="52">
        <f t="shared" ref="H19:H23" si="40">J19+K19</f>
        <v>13934</v>
      </c>
      <c r="I19" s="52">
        <f t="shared" ref="I19:I23" si="41">H19*100/E19</f>
        <v>99.528571428571425</v>
      </c>
      <c r="J19" s="52">
        <v>0</v>
      </c>
      <c r="K19" s="52">
        <f>4330+4964+4640</f>
        <v>13934</v>
      </c>
      <c r="L19" s="52">
        <f t="shared" ref="L19:L23" si="42">N19+O19</f>
        <v>0</v>
      </c>
      <c r="M19" s="52">
        <f t="shared" ref="M19:M23" si="43">L19*100/E19</f>
        <v>0</v>
      </c>
      <c r="N19" s="52">
        <v>0</v>
      </c>
      <c r="O19" s="52">
        <v>0</v>
      </c>
      <c r="P19" s="52">
        <f t="shared" ref="P19:P23" si="44">R19+S19</f>
        <v>66</v>
      </c>
      <c r="Q19" s="52">
        <f t="shared" ref="Q19:Q23" si="45">P19*100/E19</f>
        <v>0.47142857142857142</v>
      </c>
      <c r="R19" s="52">
        <f t="shared" ref="R19:R23" si="46">F19-J19-N19</f>
        <v>0</v>
      </c>
      <c r="S19" s="52">
        <f t="shared" ref="S19:S23" si="47">G19-K19-O19</f>
        <v>66</v>
      </c>
    </row>
    <row r="20" spans="1:20" ht="29.25" customHeight="1" x14ac:dyDescent="0.5">
      <c r="A20" s="9">
        <v>13</v>
      </c>
      <c r="B20" s="11" t="str">
        <f>[3]รายการสรุป!$E$7</f>
        <v>ซ่อมแซมคลองส่งน้ำสายทุ่งขามกม.0+800ถึงกม.1+600อ่างเก็บน้ำห้วยไฟ ต.ป่าสัก อ.ภูซาง จ.พะเยา</v>
      </c>
      <c r="C20" s="39" t="str">
        <f>[3]รายการสรุป!$I$7</f>
        <v>0700340084410175</v>
      </c>
      <c r="D20" s="29" t="s">
        <v>23</v>
      </c>
      <c r="E20" s="52">
        <f t="shared" si="39"/>
        <v>42000</v>
      </c>
      <c r="F20" s="52">
        <v>0</v>
      </c>
      <c r="G20" s="53">
        <f>[3]รายการสรุป!$J$7</f>
        <v>42000</v>
      </c>
      <c r="H20" s="52">
        <f t="shared" si="40"/>
        <v>26186.1</v>
      </c>
      <c r="I20" s="52">
        <f t="shared" si="41"/>
        <v>62.347857142857144</v>
      </c>
      <c r="J20" s="52">
        <v>0</v>
      </c>
      <c r="K20" s="52">
        <f>26186.1</f>
        <v>26186.1</v>
      </c>
      <c r="L20" s="52">
        <f t="shared" si="42"/>
        <v>0</v>
      </c>
      <c r="M20" s="52">
        <f t="shared" si="43"/>
        <v>0</v>
      </c>
      <c r="N20" s="52">
        <v>0</v>
      </c>
      <c r="O20" s="52">
        <v>0</v>
      </c>
      <c r="P20" s="52">
        <f t="shared" si="44"/>
        <v>15813.900000000001</v>
      </c>
      <c r="Q20" s="52">
        <f t="shared" si="45"/>
        <v>37.652142857142863</v>
      </c>
      <c r="R20" s="52">
        <f t="shared" si="46"/>
        <v>0</v>
      </c>
      <c r="S20" s="52">
        <f t="shared" si="47"/>
        <v>15813.900000000001</v>
      </c>
    </row>
    <row r="21" spans="1:20" ht="29.25" customHeight="1" x14ac:dyDescent="0.5">
      <c r="A21" s="9">
        <v>14</v>
      </c>
      <c r="B21" s="11" t="str">
        <f>[3]รายการสรุป!$E$8</f>
        <v>ซ่อมแซมคลองส่งน้ำสายงฝายต้นไฮ อ่างเก็บน้ำห้วยไฟ ต.ภูซาง อ.ภูซาง จ.พะเยา</v>
      </c>
      <c r="C21" s="39" t="str">
        <f>[3]รายการสรุป!$I$8</f>
        <v>0700340084410176</v>
      </c>
      <c r="D21" s="29" t="s">
        <v>23</v>
      </c>
      <c r="E21" s="52">
        <f t="shared" si="39"/>
        <v>32700</v>
      </c>
      <c r="F21" s="52">
        <v>0</v>
      </c>
      <c r="G21" s="53">
        <f>[3]รายการสรุป!$J$8</f>
        <v>32700</v>
      </c>
      <c r="H21" s="52">
        <f t="shared" si="40"/>
        <v>27294.980000000003</v>
      </c>
      <c r="I21" s="52">
        <f t="shared" si="41"/>
        <v>83.470886850152922</v>
      </c>
      <c r="J21" s="52">
        <v>0</v>
      </c>
      <c r="K21" s="52">
        <f>8331.85+9125.55+9837.58</f>
        <v>27294.980000000003</v>
      </c>
      <c r="L21" s="52">
        <f t="shared" si="42"/>
        <v>0</v>
      </c>
      <c r="M21" s="52">
        <f t="shared" si="43"/>
        <v>0</v>
      </c>
      <c r="N21" s="52">
        <v>0</v>
      </c>
      <c r="O21" s="52">
        <v>0</v>
      </c>
      <c r="P21" s="52">
        <f t="shared" si="44"/>
        <v>5405.0199999999968</v>
      </c>
      <c r="Q21" s="52">
        <f t="shared" si="45"/>
        <v>16.529113149847085</v>
      </c>
      <c r="R21" s="52">
        <f t="shared" si="46"/>
        <v>0</v>
      </c>
      <c r="S21" s="52">
        <f t="shared" si="47"/>
        <v>5405.0199999999968</v>
      </c>
    </row>
    <row r="22" spans="1:20" ht="29.25" customHeight="1" x14ac:dyDescent="0.5">
      <c r="A22" s="9">
        <v>15</v>
      </c>
      <c r="B22" s="11" t="str">
        <f>[3]รายการสรุป!$E$9</f>
        <v>ซ่อมแซมคลองส่งน้ำสาย2L-LMC-4L-LMCอ่างเก็บน้ำห้วยสา ต.ร่มเย็น อ.เชียงคำ จ.พะเยา</v>
      </c>
      <c r="C22" s="39" t="str">
        <f>[3]รายการสรุป!$I$9</f>
        <v>0700340084410177</v>
      </c>
      <c r="D22" s="29" t="s">
        <v>23</v>
      </c>
      <c r="E22" s="52">
        <f t="shared" si="39"/>
        <v>23400</v>
      </c>
      <c r="F22" s="52">
        <v>0</v>
      </c>
      <c r="G22" s="53">
        <f>[3]รายการสรุป!$J$9</f>
        <v>23400</v>
      </c>
      <c r="H22" s="52">
        <f t="shared" si="40"/>
        <v>22741.4</v>
      </c>
      <c r="I22" s="52">
        <f t="shared" si="41"/>
        <v>97.185470085470087</v>
      </c>
      <c r="J22" s="52">
        <v>0</v>
      </c>
      <c r="K22" s="52">
        <f>9441.4+3600+9460+240</f>
        <v>22741.4</v>
      </c>
      <c r="L22" s="52">
        <f t="shared" si="42"/>
        <v>0</v>
      </c>
      <c r="M22" s="52">
        <f t="shared" si="43"/>
        <v>0</v>
      </c>
      <c r="N22" s="52">
        <v>0</v>
      </c>
      <c r="O22" s="52">
        <v>0</v>
      </c>
      <c r="P22" s="52">
        <f t="shared" si="44"/>
        <v>658.59999999999854</v>
      </c>
      <c r="Q22" s="52">
        <f t="shared" si="45"/>
        <v>2.8145299145299085</v>
      </c>
      <c r="R22" s="52">
        <f t="shared" si="46"/>
        <v>0</v>
      </c>
      <c r="S22" s="52">
        <f t="shared" si="47"/>
        <v>658.59999999999854</v>
      </c>
    </row>
    <row r="23" spans="1:20" ht="29.25" customHeight="1" x14ac:dyDescent="0.5">
      <c r="A23" s="9">
        <v>16</v>
      </c>
      <c r="B23" s="11" t="str">
        <f>[3]รายการสรุป!$E$10</f>
        <v>ซ่อมแซมคลองส่งน้ำสายวังเตากลางอ่างเก็บน้ำร่องส้าน ต.ใหม่ร่มเย็น อ.เชียงคำ จ.พะเยา</v>
      </c>
      <c r="C23" s="39" t="str">
        <f>[3]รายการสรุป!$I$10</f>
        <v>0700340084410178</v>
      </c>
      <c r="D23" s="29" t="s">
        <v>23</v>
      </c>
      <c r="E23" s="52">
        <f t="shared" si="39"/>
        <v>23400</v>
      </c>
      <c r="F23" s="52">
        <v>0</v>
      </c>
      <c r="G23" s="53">
        <f>[3]รายการสรุป!$J$10</f>
        <v>23400</v>
      </c>
      <c r="H23" s="52">
        <f t="shared" si="40"/>
        <v>13440</v>
      </c>
      <c r="I23" s="52">
        <f t="shared" si="41"/>
        <v>57.435897435897438</v>
      </c>
      <c r="J23" s="52">
        <v>0</v>
      </c>
      <c r="K23" s="52">
        <f>4640+8800</f>
        <v>13440</v>
      </c>
      <c r="L23" s="52">
        <f t="shared" si="42"/>
        <v>0</v>
      </c>
      <c r="M23" s="52">
        <f t="shared" si="43"/>
        <v>0</v>
      </c>
      <c r="N23" s="52">
        <v>0</v>
      </c>
      <c r="O23" s="52">
        <v>0</v>
      </c>
      <c r="P23" s="52">
        <f t="shared" si="44"/>
        <v>9960</v>
      </c>
      <c r="Q23" s="52">
        <f t="shared" si="45"/>
        <v>42.564102564102562</v>
      </c>
      <c r="R23" s="52">
        <f t="shared" si="46"/>
        <v>0</v>
      </c>
      <c r="S23" s="52">
        <f t="shared" si="47"/>
        <v>9960</v>
      </c>
    </row>
    <row r="24" spans="1:20" ht="29.25" customHeight="1" x14ac:dyDescent="0.5">
      <c r="A24" s="9">
        <v>17</v>
      </c>
      <c r="B24" s="11" t="str">
        <f>[3]รายการสรุป!$E$11</f>
        <v>ซ่อมแซมคลองส่งน้ำสายทุ่งกลางอ่างเก็บน้ำห้วยไฟ ต.ภูซาง อ.ภูซาง จ.พะเยา</v>
      </c>
      <c r="C24" s="39" t="str">
        <f>[3]รายการสรุป!$I$11</f>
        <v>0700340084410179</v>
      </c>
      <c r="D24" s="29" t="s">
        <v>23</v>
      </c>
      <c r="E24" s="52">
        <f t="shared" ref="E24:E25" si="48">F24+G24</f>
        <v>18600</v>
      </c>
      <c r="F24" s="52">
        <v>0</v>
      </c>
      <c r="G24" s="53">
        <f>[3]รายการสรุป!$J$11</f>
        <v>18600</v>
      </c>
      <c r="H24" s="52">
        <f t="shared" ref="H24:H25" si="49">J24+K24</f>
        <v>18600</v>
      </c>
      <c r="I24" s="52">
        <f t="shared" ref="I24:I25" si="50">H24*100/E24</f>
        <v>100</v>
      </c>
      <c r="J24" s="52">
        <v>0</v>
      </c>
      <c r="K24" s="52">
        <f>18600</f>
        <v>18600</v>
      </c>
      <c r="L24" s="52">
        <f t="shared" ref="L24:L25" si="51">N24+O24</f>
        <v>0</v>
      </c>
      <c r="M24" s="52">
        <f t="shared" ref="M24:M25" si="52">L24*100/E24</f>
        <v>0</v>
      </c>
      <c r="N24" s="52">
        <v>0</v>
      </c>
      <c r="O24" s="52">
        <v>0</v>
      </c>
      <c r="P24" s="52">
        <f t="shared" ref="P24:P27" si="53">R24+S24</f>
        <v>0</v>
      </c>
      <c r="Q24" s="52">
        <f t="shared" ref="Q24:Q25" si="54">P24*100/E24</f>
        <v>0</v>
      </c>
      <c r="R24" s="52">
        <f t="shared" ref="R24:R27" si="55">F24-J24-N24</f>
        <v>0</v>
      </c>
      <c r="S24" s="52">
        <f t="shared" ref="S24:S27" si="56">G24-K24-O24</f>
        <v>0</v>
      </c>
    </row>
    <row r="25" spans="1:20" ht="29.25" customHeight="1" x14ac:dyDescent="0.5">
      <c r="A25" s="9">
        <v>18</v>
      </c>
      <c r="B25" s="11" t="str">
        <f>[3]รายการสรุป!$E$12</f>
        <v>ซ่อมแซมคลองส่งน้ำสายทุ่งเหลายาวอ่างเก็บน้ำห้วยยัด ต.แม่ลาว อ.เชียงคำ จ.พะเยา</v>
      </c>
      <c r="C25" s="39" t="str">
        <f>[3]รายการสรุป!$I$12</f>
        <v>0700340084410180</v>
      </c>
      <c r="D25" s="29" t="s">
        <v>23</v>
      </c>
      <c r="E25" s="52">
        <f t="shared" si="48"/>
        <v>14100</v>
      </c>
      <c r="F25" s="52">
        <v>0</v>
      </c>
      <c r="G25" s="53">
        <f>[3]รายการสรุป!$J$12</f>
        <v>14100</v>
      </c>
      <c r="H25" s="52">
        <f t="shared" si="49"/>
        <v>13384</v>
      </c>
      <c r="I25" s="52">
        <f t="shared" si="50"/>
        <v>94.921985815602838</v>
      </c>
      <c r="J25" s="52">
        <v>0</v>
      </c>
      <c r="K25" s="52">
        <f>8744+4640</f>
        <v>13384</v>
      </c>
      <c r="L25" s="52">
        <f t="shared" si="51"/>
        <v>0</v>
      </c>
      <c r="M25" s="52">
        <f t="shared" si="52"/>
        <v>0</v>
      </c>
      <c r="N25" s="52">
        <v>0</v>
      </c>
      <c r="O25" s="52">
        <v>0</v>
      </c>
      <c r="P25" s="52">
        <f t="shared" si="53"/>
        <v>716</v>
      </c>
      <c r="Q25" s="52">
        <f t="shared" si="54"/>
        <v>5.0780141843971629</v>
      </c>
      <c r="R25" s="52">
        <f t="shared" si="55"/>
        <v>0</v>
      </c>
      <c r="S25" s="52">
        <f t="shared" si="56"/>
        <v>716</v>
      </c>
    </row>
    <row r="26" spans="1:20" ht="30" customHeight="1" x14ac:dyDescent="0.5">
      <c r="A26" s="9"/>
      <c r="B26" s="18" t="s">
        <v>25</v>
      </c>
      <c r="C26" s="18"/>
      <c r="D26" s="24"/>
      <c r="E26" s="19">
        <f>F26+G26</f>
        <v>256799.8</v>
      </c>
      <c r="F26" s="19">
        <f>SUM(F27:F54)</f>
        <v>0</v>
      </c>
      <c r="G26" s="19">
        <f>SUM(G27:G32)</f>
        <v>256799.8</v>
      </c>
      <c r="H26" s="19">
        <f>J26+K26</f>
        <v>238638.85000000003</v>
      </c>
      <c r="I26" s="19">
        <f>H26*100/E26</f>
        <v>92.927973464153808</v>
      </c>
      <c r="J26" s="19">
        <f>SUM(J27:J54)</f>
        <v>0</v>
      </c>
      <c r="K26" s="19">
        <f>SUM(K27:K32)</f>
        <v>238638.85000000003</v>
      </c>
      <c r="L26" s="19">
        <f>N26+O26</f>
        <v>0</v>
      </c>
      <c r="M26" s="19">
        <f>L26*100/E26</f>
        <v>0</v>
      </c>
      <c r="N26" s="19">
        <f>SUM(N27:N54)</f>
        <v>0</v>
      </c>
      <c r="O26" s="19">
        <f>SUM(O27:O54)</f>
        <v>0</v>
      </c>
      <c r="P26" s="19">
        <f t="shared" si="53"/>
        <v>18160.949999999953</v>
      </c>
      <c r="Q26" s="19">
        <f>P26*100/E26</f>
        <v>7.0720265358461942</v>
      </c>
      <c r="R26" s="19">
        <f t="shared" si="55"/>
        <v>0</v>
      </c>
      <c r="S26" s="19">
        <f t="shared" si="56"/>
        <v>18160.949999999953</v>
      </c>
      <c r="T26" s="16">
        <f>I26+M26+Q26</f>
        <v>100</v>
      </c>
    </row>
    <row r="27" spans="1:20" ht="30" customHeight="1" x14ac:dyDescent="0.5">
      <c r="A27" s="9">
        <v>19</v>
      </c>
      <c r="B27" s="11" t="str">
        <f>[4]รายการสรุป!$E$5</f>
        <v>ซ่อมแซมคลองส่งน้ำเหมืองนาโฮ่งงฝายลูกที่1 อ่างเก็บน้ำน้ำแก่น(พรด.)ต.น้ำแก่น อ.ภูเพียง จ.น่าน</v>
      </c>
      <c r="C27" s="11" t="str">
        <f>[4]รายการสรุป!$I$5</f>
        <v>0700340084410181</v>
      </c>
      <c r="D27" s="29" t="s">
        <v>23</v>
      </c>
      <c r="E27" s="52">
        <f t="shared" ref="E27" si="57">F27+G27</f>
        <v>59399.8</v>
      </c>
      <c r="F27" s="52">
        <v>0</v>
      </c>
      <c r="G27" s="53">
        <f>[5]รายการสรุป!$J$5</f>
        <v>59399.8</v>
      </c>
      <c r="H27" s="52">
        <f t="shared" ref="H27" si="58">J27+K27</f>
        <v>59399.8</v>
      </c>
      <c r="I27" s="52">
        <f t="shared" ref="I27" si="59">H27*100/E27</f>
        <v>100</v>
      </c>
      <c r="J27" s="52">
        <v>0</v>
      </c>
      <c r="K27" s="52">
        <f>16663.7+18251.1+7770+16475+240</f>
        <v>59399.8</v>
      </c>
      <c r="L27" s="52">
        <f t="shared" ref="L27" si="60">N27+O27</f>
        <v>0</v>
      </c>
      <c r="M27" s="52">
        <f t="shared" ref="M27" si="61">L27*100/E27</f>
        <v>0</v>
      </c>
      <c r="N27" s="52">
        <v>0</v>
      </c>
      <c r="O27" s="52">
        <v>0</v>
      </c>
      <c r="P27" s="52">
        <f t="shared" si="53"/>
        <v>0</v>
      </c>
      <c r="Q27" s="52">
        <f t="shared" ref="Q27" si="62">P27*100/E27</f>
        <v>0</v>
      </c>
      <c r="R27" s="52">
        <f t="shared" si="55"/>
        <v>0</v>
      </c>
      <c r="S27" s="52">
        <f t="shared" si="56"/>
        <v>0</v>
      </c>
    </row>
    <row r="28" spans="1:20" ht="30" customHeight="1" x14ac:dyDescent="0.5">
      <c r="A28" s="9">
        <v>20</v>
      </c>
      <c r="B28" s="11" t="str">
        <f>[4]รายการสรุป!$E$6</f>
        <v>ซ่อมแซมคลองส่งน้ำ 1L-LMCฝายน้ำสอด(พรด.)ต.และอ.ทุ่งช้าง จ.น่าน</v>
      </c>
      <c r="C28" s="11" t="str">
        <f>[4]รายการสรุป!$I$6</f>
        <v>0700340084410182</v>
      </c>
      <c r="D28" s="29" t="s">
        <v>23</v>
      </c>
      <c r="E28" s="52">
        <f t="shared" ref="E28:E31" si="63">F28+G28</f>
        <v>38000</v>
      </c>
      <c r="F28" s="52">
        <v>0</v>
      </c>
      <c r="G28" s="53">
        <f>[5]รายการสรุป!$J$6</f>
        <v>38000</v>
      </c>
      <c r="H28" s="52">
        <f t="shared" ref="H28:H31" si="64">J28+K28</f>
        <v>37940</v>
      </c>
      <c r="I28" s="52">
        <f t="shared" ref="I28:I31" si="65">H28*100/E28</f>
        <v>99.84210526315789</v>
      </c>
      <c r="J28" s="52">
        <v>0</v>
      </c>
      <c r="K28" s="52">
        <f>3840+6240+9520+10340+8000</f>
        <v>37940</v>
      </c>
      <c r="L28" s="52">
        <f t="shared" ref="L28:L31" si="66">N28+O28</f>
        <v>0</v>
      </c>
      <c r="M28" s="52">
        <f t="shared" ref="M28:M31" si="67">L28*100/E28</f>
        <v>0</v>
      </c>
      <c r="N28" s="52">
        <v>0</v>
      </c>
      <c r="O28" s="52">
        <v>0</v>
      </c>
      <c r="P28" s="52">
        <f t="shared" ref="P28:P33" si="68">R28+S28</f>
        <v>60</v>
      </c>
      <c r="Q28" s="52">
        <f t="shared" ref="Q28:Q32" si="69">P28*100/E28</f>
        <v>0.15789473684210525</v>
      </c>
      <c r="R28" s="52">
        <f t="shared" ref="R28:R33" si="70">F28-J28-N28</f>
        <v>0</v>
      </c>
      <c r="S28" s="52">
        <f t="shared" ref="S28:S33" si="71">G28-K28-O28</f>
        <v>60</v>
      </c>
    </row>
    <row r="29" spans="1:20" ht="30" customHeight="1" x14ac:dyDescent="0.5">
      <c r="A29" s="9">
        <v>21</v>
      </c>
      <c r="B29" s="11" t="str">
        <f>[4]รายการสรุป!$E$7</f>
        <v>ซ่อมแซมอ่างเก็บน้ำบ้านน้ำว้า(พรด.)ต.น้ำพาง อ.แม่จริม จ.น่าน</v>
      </c>
      <c r="C29" s="11" t="str">
        <f>[4]รายการสรุป!$I$7</f>
        <v>0700340084410184</v>
      </c>
      <c r="D29" s="29" t="s">
        <v>23</v>
      </c>
      <c r="E29" s="52">
        <f t="shared" si="63"/>
        <v>42100</v>
      </c>
      <c r="F29" s="52">
        <v>0</v>
      </c>
      <c r="G29" s="53">
        <f>[5]รายการสรุป!$J$7</f>
        <v>42100</v>
      </c>
      <c r="H29" s="52">
        <f t="shared" si="64"/>
        <v>37317.72</v>
      </c>
      <c r="I29" s="52">
        <f t="shared" si="65"/>
        <v>88.640665083135389</v>
      </c>
      <c r="J29" s="52">
        <v>0</v>
      </c>
      <c r="K29" s="52">
        <f>5783+5680+10310.52+15544.2</f>
        <v>37317.72</v>
      </c>
      <c r="L29" s="52">
        <f t="shared" si="66"/>
        <v>0</v>
      </c>
      <c r="M29" s="52">
        <f t="shared" si="67"/>
        <v>0</v>
      </c>
      <c r="N29" s="52">
        <v>0</v>
      </c>
      <c r="O29" s="52">
        <v>0</v>
      </c>
      <c r="P29" s="52">
        <f t="shared" si="68"/>
        <v>4782.2799999999988</v>
      </c>
      <c r="Q29" s="52">
        <f t="shared" si="69"/>
        <v>11.359334916864606</v>
      </c>
      <c r="R29" s="52">
        <f t="shared" si="70"/>
        <v>0</v>
      </c>
      <c r="S29" s="52">
        <f t="shared" si="71"/>
        <v>4782.2799999999988</v>
      </c>
    </row>
    <row r="30" spans="1:20" ht="30" customHeight="1" x14ac:dyDescent="0.5">
      <c r="A30" s="9">
        <v>22</v>
      </c>
      <c r="B30" s="11" t="str">
        <f>[4]รายการสรุป!$E$8</f>
        <v>ซ่อมแซมคลองส่งน้ำ LMCอ่างเก็บน้ำน้ำและ กม.0+500ถึง กม.0+603(พรด.)ต.และ อ.ทุ่งช้าง จ.น่าน</v>
      </c>
      <c r="C30" s="11" t="str">
        <f>[4]รายการสรุป!$I$8</f>
        <v>0700340084410187</v>
      </c>
      <c r="D30" s="29" t="s">
        <v>23</v>
      </c>
      <c r="E30" s="52">
        <f t="shared" si="63"/>
        <v>38000</v>
      </c>
      <c r="F30" s="52">
        <v>0</v>
      </c>
      <c r="G30" s="53">
        <f>[5]รายการสรุป!$J$8</f>
        <v>38000</v>
      </c>
      <c r="H30" s="52">
        <f t="shared" si="64"/>
        <v>37955.020000000004</v>
      </c>
      <c r="I30" s="52">
        <f t="shared" si="65"/>
        <v>99.881631578947378</v>
      </c>
      <c r="J30" s="52">
        <v>0</v>
      </c>
      <c r="K30" s="52">
        <f>22995.02+9520+4160+1280</f>
        <v>37955.020000000004</v>
      </c>
      <c r="L30" s="52">
        <f t="shared" si="66"/>
        <v>0</v>
      </c>
      <c r="M30" s="52">
        <f t="shared" si="67"/>
        <v>0</v>
      </c>
      <c r="N30" s="52">
        <v>0</v>
      </c>
      <c r="O30" s="52">
        <v>0</v>
      </c>
      <c r="P30" s="52">
        <f t="shared" si="68"/>
        <v>44.979999999995925</v>
      </c>
      <c r="Q30" s="52">
        <f t="shared" si="69"/>
        <v>0.11836842105262085</v>
      </c>
      <c r="R30" s="52">
        <f t="shared" si="70"/>
        <v>0</v>
      </c>
      <c r="S30" s="52">
        <f t="shared" si="71"/>
        <v>44.979999999995925</v>
      </c>
    </row>
    <row r="31" spans="1:20" ht="31.5" customHeight="1" x14ac:dyDescent="0.5">
      <c r="A31" s="9">
        <v>23</v>
      </c>
      <c r="B31" s="11" t="str">
        <f>[4]รายการสรุป!$E$9</f>
        <v>ซ่อมแซมคลองส่งน้ำ2R-RMCอ่างเก็บน้ำน้ำปอน กม.1+000ถึงกม.1+125(พรด.)ต.ปอน อ.ทุ่งช้าง จ.น่าน</v>
      </c>
      <c r="C31" s="11" t="str">
        <f>[4]รายการสรุป!$I$9</f>
        <v>0700340084410188</v>
      </c>
      <c r="D31" s="29" t="s">
        <v>23</v>
      </c>
      <c r="E31" s="52">
        <f t="shared" si="63"/>
        <v>38000</v>
      </c>
      <c r="F31" s="52">
        <v>0</v>
      </c>
      <c r="G31" s="53">
        <f>[5]รายการสรุป!$J$9</f>
        <v>38000</v>
      </c>
      <c r="H31" s="52">
        <f t="shared" si="64"/>
        <v>36396.31</v>
      </c>
      <c r="I31" s="52">
        <f t="shared" si="65"/>
        <v>95.779763157894735</v>
      </c>
      <c r="J31" s="52">
        <v>0</v>
      </c>
      <c r="K31" s="52">
        <f>26186.1+4640+5570.21</f>
        <v>36396.31</v>
      </c>
      <c r="L31" s="52">
        <f t="shared" si="66"/>
        <v>0</v>
      </c>
      <c r="M31" s="52">
        <f t="shared" si="67"/>
        <v>0</v>
      </c>
      <c r="N31" s="52">
        <v>0</v>
      </c>
      <c r="O31" s="52">
        <v>0</v>
      </c>
      <c r="P31" s="52">
        <f t="shared" si="68"/>
        <v>1603.6900000000023</v>
      </c>
      <c r="Q31" s="52">
        <f t="shared" si="69"/>
        <v>4.2202368421052689</v>
      </c>
      <c r="R31" s="52">
        <f t="shared" si="70"/>
        <v>0</v>
      </c>
      <c r="S31" s="52">
        <f t="shared" si="71"/>
        <v>1603.6900000000023</v>
      </c>
    </row>
    <row r="32" spans="1:20" ht="30.75" customHeight="1" x14ac:dyDescent="0.5">
      <c r="A32" s="9">
        <v>24</v>
      </c>
      <c r="B32" s="11" t="str">
        <f>[4]รายการสรุป!$E$10</f>
        <v>ซ่อมแซมระบบส่งน้ำฝั่งขวาฝายน้ำอวน(พรด.) ต.อวน อ.ปัว จ.น่าน</v>
      </c>
      <c r="C32" s="11" t="str">
        <f>[4]รายการสรุป!$I$10</f>
        <v>0700340084410189</v>
      </c>
      <c r="D32" s="29" t="s">
        <v>23</v>
      </c>
      <c r="E32" s="52">
        <f t="shared" ref="E32" si="72">F32+G32</f>
        <v>41300</v>
      </c>
      <c r="F32" s="52">
        <v>0</v>
      </c>
      <c r="G32" s="53">
        <f>[4]รายการสรุป!$J$10</f>
        <v>41300</v>
      </c>
      <c r="H32" s="52">
        <f t="shared" ref="H32" si="73">J32+K32</f>
        <v>29630</v>
      </c>
      <c r="I32" s="52">
        <f t="shared" ref="I32" si="74">H32*100/E32</f>
        <v>71.743341404358347</v>
      </c>
      <c r="J32" s="52">
        <v>0</v>
      </c>
      <c r="K32" s="52">
        <f>1040+3360+4400+14910+5920</f>
        <v>29630</v>
      </c>
      <c r="L32" s="52">
        <f t="shared" ref="L32" si="75">N32+O32</f>
        <v>0</v>
      </c>
      <c r="M32" s="52">
        <f t="shared" ref="M32" si="76">L32*100/E32</f>
        <v>0</v>
      </c>
      <c r="N32" s="52">
        <v>0</v>
      </c>
      <c r="O32" s="52">
        <v>0</v>
      </c>
      <c r="P32" s="52">
        <f t="shared" si="68"/>
        <v>11670</v>
      </c>
      <c r="Q32" s="52">
        <f t="shared" si="69"/>
        <v>28.256658595641646</v>
      </c>
      <c r="R32" s="52">
        <f t="shared" si="70"/>
        <v>0</v>
      </c>
      <c r="S32" s="52">
        <f t="shared" si="71"/>
        <v>11670</v>
      </c>
    </row>
    <row r="33" spans="1:19" ht="30" customHeight="1" x14ac:dyDescent="0.5">
      <c r="A33" s="9"/>
      <c r="B33" s="18" t="s">
        <v>26</v>
      </c>
      <c r="C33" s="18"/>
      <c r="D33" s="24"/>
      <c r="E33" s="19">
        <f>F33+G33</f>
        <v>855000</v>
      </c>
      <c r="F33" s="19">
        <f>SUM(F34:F36)</f>
        <v>0</v>
      </c>
      <c r="G33" s="19">
        <f>SUM(G34:G36)</f>
        <v>855000</v>
      </c>
      <c r="H33" s="19">
        <f>J33+K33</f>
        <v>752207.9</v>
      </c>
      <c r="I33" s="19">
        <f>H33*100/E33</f>
        <v>87.977532163742694</v>
      </c>
      <c r="J33" s="19">
        <f>SUM(J34:J36)</f>
        <v>0</v>
      </c>
      <c r="K33" s="19">
        <f>SUM(K34:K36)</f>
        <v>752207.9</v>
      </c>
      <c r="L33" s="19">
        <f>N33+O33</f>
        <v>0</v>
      </c>
      <c r="M33" s="19">
        <f>L33*100/E33</f>
        <v>0</v>
      </c>
      <c r="N33" s="19">
        <f>SUM(N34:N36)</f>
        <v>0</v>
      </c>
      <c r="O33" s="19">
        <f>SUM(O34:O36)</f>
        <v>0</v>
      </c>
      <c r="P33" s="19">
        <f t="shared" si="68"/>
        <v>102792.09999999998</v>
      </c>
      <c r="Q33" s="19">
        <f>P33*100/E33</f>
        <v>12.022467836257308</v>
      </c>
      <c r="R33" s="19">
        <f t="shared" si="70"/>
        <v>0</v>
      </c>
      <c r="S33" s="19">
        <f t="shared" si="71"/>
        <v>102792.09999999998</v>
      </c>
    </row>
    <row r="34" spans="1:19" ht="30" customHeight="1" x14ac:dyDescent="0.5">
      <c r="A34" s="9">
        <v>25</v>
      </c>
      <c r="B34" s="11" t="str">
        <f>[6]รายการสรุป!$E$5</f>
        <v>ปรับปรุงระบบส่งน้ำงายสวยโฮ่ง ระยะ2 ต.นาโป่ง อ.เถิน จ.ลำปาง</v>
      </c>
      <c r="C34" s="11" t="str">
        <f>[6]รายการสรุป!$I$5</f>
        <v>0700340084410436</v>
      </c>
      <c r="D34" s="29" t="s">
        <v>23</v>
      </c>
      <c r="E34" s="52">
        <f t="shared" ref="E34" si="77">F34+G34</f>
        <v>179000</v>
      </c>
      <c r="F34" s="52">
        <v>0</v>
      </c>
      <c r="G34" s="53">
        <f>[6]รายการสรุป!$J$5</f>
        <v>179000</v>
      </c>
      <c r="H34" s="52">
        <f t="shared" ref="H34" si="78">J34+K34</f>
        <v>176945.2</v>
      </c>
      <c r="I34" s="52">
        <f t="shared" ref="I34" si="79">H34*100/E34</f>
        <v>98.852067039106146</v>
      </c>
      <c r="J34" s="52">
        <v>0</v>
      </c>
      <c r="K34" s="52">
        <f>59002.8+64623.4+25850+27469</f>
        <v>176945.2</v>
      </c>
      <c r="L34" s="52">
        <f t="shared" ref="L34" si="80">N34+O34</f>
        <v>0</v>
      </c>
      <c r="M34" s="52">
        <f t="shared" ref="M34" si="81">L34*100/E34</f>
        <v>0</v>
      </c>
      <c r="N34" s="52">
        <v>0</v>
      </c>
      <c r="O34" s="52">
        <v>0</v>
      </c>
      <c r="P34" s="52">
        <f t="shared" ref="P34" si="82">R34+S34</f>
        <v>2054.7999999999884</v>
      </c>
      <c r="Q34" s="52">
        <f t="shared" ref="Q34" si="83">P34*100/E34</f>
        <v>1.1479329608938482</v>
      </c>
      <c r="R34" s="52">
        <f t="shared" ref="R34" si="84">F34-J34-N34</f>
        <v>0</v>
      </c>
      <c r="S34" s="52">
        <f t="shared" ref="S34" si="85">G34-K34-O34</f>
        <v>2054.7999999999884</v>
      </c>
    </row>
    <row r="35" spans="1:19" ht="30" customHeight="1" x14ac:dyDescent="0.5">
      <c r="A35" s="9">
        <v>26</v>
      </c>
      <c r="B35" s="11" t="str">
        <f>[6]รายการสรุป!$E$6</f>
        <v>ระบบส่งน้ำอ่างเก็บน้ำแม่ไพร(ฝายทุ่งเก้ามุ่น) ต.วอแก้ว อ.ห้างฉัตร จ.ลำปาง</v>
      </c>
      <c r="C35" s="11" t="str">
        <f>[6]รายการสรุป!$I$6</f>
        <v>0700340084410437</v>
      </c>
      <c r="D35" s="29" t="s">
        <v>23</v>
      </c>
      <c r="E35" s="52">
        <f t="shared" ref="E35" si="86">F35+G35</f>
        <v>211000</v>
      </c>
      <c r="F35" s="52">
        <v>0</v>
      </c>
      <c r="G35" s="53">
        <f>[6]รายการสรุป!$J$6</f>
        <v>211000</v>
      </c>
      <c r="H35" s="52">
        <f t="shared" ref="H35" si="87">J35+K35</f>
        <v>194415.5</v>
      </c>
      <c r="I35" s="52">
        <f t="shared" ref="I35" si="88">H35*100/E35</f>
        <v>92.140047393364924</v>
      </c>
      <c r="J35" s="52">
        <v>0</v>
      </c>
      <c r="K35" s="52">
        <f>66257.95+72607.55+51760+3790</f>
        <v>194415.5</v>
      </c>
      <c r="L35" s="52">
        <f t="shared" ref="L35:L36" si="89">N35+O35</f>
        <v>0</v>
      </c>
      <c r="M35" s="52">
        <f t="shared" ref="M35" si="90">L35*100/E35</f>
        <v>0</v>
      </c>
      <c r="N35" s="52">
        <v>0</v>
      </c>
      <c r="O35" s="52">
        <v>0</v>
      </c>
      <c r="P35" s="52">
        <f t="shared" ref="P35" si="91">R35+S35</f>
        <v>16584.5</v>
      </c>
      <c r="Q35" s="52">
        <f t="shared" ref="Q35" si="92">P35*100/E35</f>
        <v>7.8599526066350709</v>
      </c>
      <c r="R35" s="52">
        <f t="shared" ref="R35" si="93">F35-J35-N35</f>
        <v>0</v>
      </c>
      <c r="S35" s="52">
        <f t="shared" ref="S35" si="94">G35-K35-O35</f>
        <v>16584.5</v>
      </c>
    </row>
    <row r="36" spans="1:19" ht="30" customHeight="1" x14ac:dyDescent="0.5">
      <c r="A36" s="9">
        <v>27</v>
      </c>
      <c r="B36" s="11" t="str">
        <f>[6]รายการสรุป!$E$7</f>
        <v>ระบบส่งน้ำอ่างเก็บน้ำแม่แมะ ต.เมืองปาน อ.เมืองปาน จ.ลำปาง</v>
      </c>
      <c r="C36" s="11" t="str">
        <f>[6]รายการสรุป!$I$7</f>
        <v>0700340084420017</v>
      </c>
      <c r="D36" s="29" t="s">
        <v>23</v>
      </c>
      <c r="E36" s="52">
        <f t="shared" ref="E36" si="95">F36+G36</f>
        <v>465000</v>
      </c>
      <c r="F36" s="52">
        <v>0</v>
      </c>
      <c r="G36" s="53">
        <f>[6]รายการสรุป!$J$7</f>
        <v>465000</v>
      </c>
      <c r="H36" s="52">
        <f t="shared" ref="H36" si="96">J36+K36</f>
        <v>380847.2</v>
      </c>
      <c r="I36" s="52">
        <f t="shared" ref="I36" si="97">H36*100/E36</f>
        <v>81.902623655913985</v>
      </c>
      <c r="J36" s="52">
        <v>0</v>
      </c>
      <c r="K36" s="52">
        <f>20377.45+33076+8198+6838+15251+7935+10080+12369+6480+10652+18043+8331.85+4878+37900+47875+4953+8728.7+3000+43800+27376.65+3000+7935+3044+21600+9125.55</f>
        <v>380847.2</v>
      </c>
      <c r="L36" s="52">
        <f t="shared" si="89"/>
        <v>0</v>
      </c>
      <c r="M36" s="52">
        <f t="shared" ref="M36" si="98">L36*100/E36</f>
        <v>0</v>
      </c>
      <c r="N36" s="52">
        <v>0</v>
      </c>
      <c r="O36" s="52">
        <v>0</v>
      </c>
      <c r="P36" s="52">
        <f t="shared" ref="P36:P38" si="99">R36+S36</f>
        <v>84152.799999999988</v>
      </c>
      <c r="Q36" s="52">
        <f t="shared" ref="Q36" si="100">P36*100/E36</f>
        <v>18.097376344086019</v>
      </c>
      <c r="R36" s="52">
        <f t="shared" ref="R36:R38" si="101">F36-J36-N36</f>
        <v>0</v>
      </c>
      <c r="S36" s="52">
        <f t="shared" ref="S36:S38" si="102">G36-K36-O36</f>
        <v>84152.799999999988</v>
      </c>
    </row>
    <row r="37" spans="1:19" ht="30" customHeight="1" x14ac:dyDescent="0.5">
      <c r="A37" s="9"/>
      <c r="B37" s="18" t="s">
        <v>27</v>
      </c>
      <c r="C37" s="18"/>
      <c r="D37" s="24"/>
      <c r="E37" s="19">
        <f>F37+G37</f>
        <v>37000</v>
      </c>
      <c r="F37" s="19">
        <f>SUM(F38)</f>
        <v>0</v>
      </c>
      <c r="G37" s="19">
        <f>SUM(G38)</f>
        <v>37000</v>
      </c>
      <c r="H37" s="19">
        <f>J37+K37</f>
        <v>5020</v>
      </c>
      <c r="I37" s="19">
        <f>H37*100/E37</f>
        <v>13.567567567567568</v>
      </c>
      <c r="J37" s="19">
        <f>SUM(J38)</f>
        <v>0</v>
      </c>
      <c r="K37" s="19">
        <f>SUM(K38)</f>
        <v>5020</v>
      </c>
      <c r="L37" s="19">
        <f>N37+O37</f>
        <v>0</v>
      </c>
      <c r="M37" s="19">
        <f>L37*100/E37</f>
        <v>0</v>
      </c>
      <c r="N37" s="19">
        <f>SUM(N38)</f>
        <v>0</v>
      </c>
      <c r="O37" s="19">
        <f>SUM(O38)</f>
        <v>0</v>
      </c>
      <c r="P37" s="19">
        <f t="shared" si="99"/>
        <v>31980</v>
      </c>
      <c r="Q37" s="19">
        <f>P37*100/E37</f>
        <v>86.432432432432435</v>
      </c>
      <c r="R37" s="19">
        <f t="shared" si="101"/>
        <v>0</v>
      </c>
      <c r="S37" s="19">
        <f t="shared" si="102"/>
        <v>31980</v>
      </c>
    </row>
    <row r="38" spans="1:19" ht="36" customHeight="1" x14ac:dyDescent="0.5">
      <c r="A38" s="9">
        <v>28</v>
      </c>
      <c r="B38" s="11" t="str">
        <f>[7]รายการสรุป!$E$5</f>
        <v>งานถังพักน้ำอ่างเก็บน้ำห้วยสร้อยศรี ต.จุน อ.จุน จ.พะเยา</v>
      </c>
      <c r="C38" s="11" t="str">
        <f>[7]รายการสรุป!$I$5</f>
        <v>0700340084410438</v>
      </c>
      <c r="D38" s="29" t="s">
        <v>23</v>
      </c>
      <c r="E38" s="52">
        <f t="shared" ref="E38" si="103">F38+G38</f>
        <v>37000</v>
      </c>
      <c r="F38" s="52">
        <v>0</v>
      </c>
      <c r="G38" s="53">
        <f>[7]รายการสรุป!$J$5</f>
        <v>37000</v>
      </c>
      <c r="H38" s="52">
        <f t="shared" ref="H38" si="104">J38+K38</f>
        <v>5020</v>
      </c>
      <c r="I38" s="52">
        <f t="shared" ref="I38" si="105">H38*100/E38</f>
        <v>13.567567567567568</v>
      </c>
      <c r="J38" s="52">
        <v>0</v>
      </c>
      <c r="K38" s="52">
        <f>5020</f>
        <v>5020</v>
      </c>
      <c r="L38" s="52">
        <f t="shared" ref="L38" si="106">N38+O38</f>
        <v>0</v>
      </c>
      <c r="M38" s="52">
        <f t="shared" ref="M38" si="107">L38*100/E38</f>
        <v>0</v>
      </c>
      <c r="N38" s="52">
        <v>0</v>
      </c>
      <c r="O38" s="52">
        <v>0</v>
      </c>
      <c r="P38" s="52">
        <f t="shared" si="99"/>
        <v>31980</v>
      </c>
      <c r="Q38" s="52">
        <f t="shared" ref="Q38" si="108">P38*100/E38</f>
        <v>86.432432432432435</v>
      </c>
      <c r="R38" s="52">
        <f t="shared" si="101"/>
        <v>0</v>
      </c>
      <c r="S38" s="52">
        <f t="shared" si="102"/>
        <v>31980</v>
      </c>
    </row>
    <row r="39" spans="1:19" ht="30" customHeight="1" x14ac:dyDescent="0.5">
      <c r="A39" s="9"/>
      <c r="B39" s="18" t="s">
        <v>59</v>
      </c>
      <c r="C39" s="18"/>
      <c r="D39" s="24"/>
      <c r="E39" s="19">
        <f>F39+G39</f>
        <v>405000</v>
      </c>
      <c r="F39" s="19">
        <f>SUM(F40:F42)</f>
        <v>0</v>
      </c>
      <c r="G39" s="19">
        <f>SUM(G40:G41)</f>
        <v>405000</v>
      </c>
      <c r="H39" s="19">
        <f>J39+K39</f>
        <v>397030.7</v>
      </c>
      <c r="I39" s="19">
        <f>H39*100/E39</f>
        <v>98.032271604938273</v>
      </c>
      <c r="J39" s="19">
        <f>SUM(J40)</f>
        <v>0</v>
      </c>
      <c r="K39" s="19">
        <f>SUM(K40:K41)</f>
        <v>397030.7</v>
      </c>
      <c r="L39" s="19">
        <f>N39+O39</f>
        <v>0</v>
      </c>
      <c r="M39" s="19">
        <f>L39*100/E39</f>
        <v>0</v>
      </c>
      <c r="N39" s="19">
        <f>SUM(N40)</f>
        <v>0</v>
      </c>
      <c r="O39" s="19">
        <f>SUM(O40:O41)</f>
        <v>0</v>
      </c>
      <c r="P39" s="19">
        <f t="shared" ref="P39:P40" si="109">R39+S39</f>
        <v>7969.2999999999884</v>
      </c>
      <c r="Q39" s="19">
        <f>P39*100/E39</f>
        <v>1.9677283950617255</v>
      </c>
      <c r="R39" s="19">
        <f t="shared" ref="R39:R40" si="110">F39-J39-N39</f>
        <v>0</v>
      </c>
      <c r="S39" s="19">
        <f t="shared" ref="S39:S40" si="111">G39-K39-O39</f>
        <v>7969.2999999999884</v>
      </c>
    </row>
    <row r="40" spans="1:19" ht="30" customHeight="1" x14ac:dyDescent="0.5">
      <c r="A40" s="9">
        <v>29</v>
      </c>
      <c r="B40" s="11" t="str">
        <f>[8]รายการสรุป!$E$5</f>
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</c>
      <c r="C40" s="11" t="str">
        <f>[8]รายการสรุป!$I$5</f>
        <v>0700340084420008</v>
      </c>
      <c r="D40" s="29" t="s">
        <v>23</v>
      </c>
      <c r="E40" s="52">
        <f t="shared" ref="E40" si="112">F40+G40</f>
        <v>405000</v>
      </c>
      <c r="F40" s="52">
        <v>0</v>
      </c>
      <c r="G40" s="53">
        <f>[8]รายการสรุป!$J$5</f>
        <v>405000</v>
      </c>
      <c r="H40" s="52">
        <f t="shared" ref="H40" si="113">J40+K40</f>
        <v>397030.7</v>
      </c>
      <c r="I40" s="52">
        <f t="shared" ref="I40" si="114">H40*100/E40</f>
        <v>98.032271604938273</v>
      </c>
      <c r="J40" s="52">
        <v>0</v>
      </c>
      <c r="K40" s="52">
        <f>66654.8+17500+7218+73004.4+3966+8505+23894+6886+3966+11102+10280+21040+20679+29974+5026+6263+30000+29997.5+6549+9998+4528</f>
        <v>397030.7</v>
      </c>
      <c r="L40" s="52">
        <f t="shared" ref="L40" si="115">N40+O40</f>
        <v>0</v>
      </c>
      <c r="M40" s="52">
        <f t="shared" ref="M40" si="116">L40*100/E40</f>
        <v>0</v>
      </c>
      <c r="N40" s="52">
        <v>0</v>
      </c>
      <c r="O40" s="52">
        <v>0</v>
      </c>
      <c r="P40" s="52">
        <f t="shared" si="109"/>
        <v>7969.2999999999884</v>
      </c>
      <c r="Q40" s="52">
        <f t="shared" ref="Q40" si="117">P40*100/E40</f>
        <v>1.9677283950617255</v>
      </c>
      <c r="R40" s="52">
        <f t="shared" si="110"/>
        <v>0</v>
      </c>
      <c r="S40" s="52">
        <f t="shared" si="111"/>
        <v>7969.2999999999884</v>
      </c>
    </row>
    <row r="41" spans="1:19" ht="30" customHeight="1" x14ac:dyDescent="0.5">
      <c r="A41" s="9">
        <v>30</v>
      </c>
      <c r="B41" s="11" t="str">
        <f>[9]รายการสรุป!$E$6</f>
        <v>ฝายห้วยแฮต2 พร้อมระบบส่งน้ำโครงการพัฒนาพื้นที่สูงแบบโครงการหลวงสะเนียน ต.สะเนียน อ.เมือง จ.น่าน</v>
      </c>
      <c r="C41" s="11" t="str">
        <f>[9]รายการสรุป!$I$6</f>
        <v>0700340084410421</v>
      </c>
      <c r="D41" s="29" t="s">
        <v>62</v>
      </c>
      <c r="E41" s="52">
        <f t="shared" ref="E41" si="118">F41+G41</f>
        <v>0</v>
      </c>
      <c r="F41" s="52">
        <v>0</v>
      </c>
      <c r="G41" s="53">
        <f>[9]รายการสรุป!$J$6</f>
        <v>0</v>
      </c>
      <c r="H41" s="52">
        <f t="shared" ref="H41" si="119">J41+K41</f>
        <v>0</v>
      </c>
      <c r="I41" s="52" t="e">
        <f t="shared" ref="I41" si="120">H41*100/E41</f>
        <v>#DIV/0!</v>
      </c>
      <c r="J41" s="52">
        <v>0</v>
      </c>
      <c r="K41" s="52">
        <v>0</v>
      </c>
      <c r="L41" s="52">
        <f t="shared" ref="L41" si="121">N41+O41</f>
        <v>0</v>
      </c>
      <c r="M41" s="52" t="e">
        <f t="shared" ref="M41" si="122">L41*100/E41</f>
        <v>#DIV/0!</v>
      </c>
      <c r="N41" s="52">
        <v>0</v>
      </c>
      <c r="O41" s="52">
        <v>0</v>
      </c>
      <c r="P41" s="52">
        <f t="shared" ref="P41" si="123">R41+S41</f>
        <v>0</v>
      </c>
      <c r="Q41" s="52" t="e">
        <f t="shared" ref="Q41" si="124">P41*100/E41</f>
        <v>#DIV/0!</v>
      </c>
      <c r="R41" s="52">
        <f t="shared" ref="R41" si="125">F41-J41-N41</f>
        <v>0</v>
      </c>
      <c r="S41" s="52">
        <f t="shared" ref="S41" si="126">G41-K41-O41</f>
        <v>0</v>
      </c>
    </row>
    <row r="42" spans="1:19" ht="36" customHeight="1" x14ac:dyDescent="0.5">
      <c r="A42" s="9"/>
      <c r="B42" s="20" t="s">
        <v>28</v>
      </c>
      <c r="C42" s="20"/>
      <c r="D42" s="23"/>
      <c r="E42" s="21">
        <f>G42+F42</f>
        <v>23562702.52</v>
      </c>
      <c r="F42" s="22">
        <f>F43+F58+F79+F89+F91+F109+F115+F118+F121+F126+F128</f>
        <v>0</v>
      </c>
      <c r="G42" s="21">
        <f>G43+G58+G79+G89+G91+G109+G115+G118+G121+G126+G128</f>
        <v>23562702.52</v>
      </c>
      <c r="H42" s="22">
        <f>K42+J42</f>
        <v>19070816.440000001</v>
      </c>
      <c r="I42" s="22">
        <f>H42*100/E42</f>
        <v>80.936456350084256</v>
      </c>
      <c r="J42" s="22">
        <f>J43+J58+J79+J89+J91+J109+J115+J118+J121+J126+J128</f>
        <v>0</v>
      </c>
      <c r="K42" s="22">
        <f>K43+K58+K79+K89+K91+K109+K115+K118+K121+K126+K128</f>
        <v>19070816.440000001</v>
      </c>
      <c r="L42" s="22">
        <f>O42+N42</f>
        <v>0</v>
      </c>
      <c r="M42" s="20"/>
      <c r="N42" s="22">
        <f>N43+N58+N79+N91+N89+N109+N115+N118+N121</f>
        <v>0</v>
      </c>
      <c r="O42" s="22">
        <f>O43+O58+O79+O89+O91+O109+O115+O118+O121+O126</f>
        <v>0</v>
      </c>
      <c r="P42" s="22">
        <f>S42+R42</f>
        <v>4491886.0799999982</v>
      </c>
      <c r="Q42" s="21">
        <f>P42*100/E42</f>
        <v>19.063543649915751</v>
      </c>
      <c r="R42" s="22">
        <f>F42-J42-N42</f>
        <v>0</v>
      </c>
      <c r="S42" s="22">
        <f>G42-K42-O42</f>
        <v>4491886.0799999982</v>
      </c>
    </row>
    <row r="43" spans="1:19" ht="35.25" customHeight="1" x14ac:dyDescent="0.5">
      <c r="A43" s="9"/>
      <c r="B43" s="18" t="s">
        <v>22</v>
      </c>
      <c r="C43" s="18"/>
      <c r="D43" s="24"/>
      <c r="E43" s="19">
        <f>F43+G43</f>
        <v>454282</v>
      </c>
      <c r="F43" s="19">
        <f>SUM(F44:F54)</f>
        <v>0</v>
      </c>
      <c r="G43" s="19">
        <f>SUM(G44:G57)</f>
        <v>454282</v>
      </c>
      <c r="H43" s="19">
        <f>J43+K43</f>
        <v>417048.36000000004</v>
      </c>
      <c r="I43" s="19">
        <f>H43*100/E43</f>
        <v>91.803848710712742</v>
      </c>
      <c r="J43" s="19">
        <f>SUM(J44:J54)</f>
        <v>0</v>
      </c>
      <c r="K43" s="19">
        <f>SUM(K44:K57)</f>
        <v>417048.36000000004</v>
      </c>
      <c r="L43" s="19">
        <f>N43+O43</f>
        <v>0</v>
      </c>
      <c r="M43" s="19">
        <f>L43*100/E43</f>
        <v>0</v>
      </c>
      <c r="N43" s="19">
        <f>SUM(N44:N54)</f>
        <v>0</v>
      </c>
      <c r="O43" s="19">
        <f>SUM(O44:O56)</f>
        <v>0</v>
      </c>
      <c r="P43" s="19">
        <f t="shared" ref="P43:P44" si="127">R43+S43</f>
        <v>37233.639999999956</v>
      </c>
      <c r="Q43" s="19">
        <f>P43*100/E43</f>
        <v>8.1961512892872612</v>
      </c>
      <c r="R43" s="19">
        <f t="shared" ref="R43:R44" si="128">F43-J43-N43</f>
        <v>0</v>
      </c>
      <c r="S43" s="19">
        <f t="shared" ref="S43:S44" si="129">G43-K43-O43</f>
        <v>37233.639999999956</v>
      </c>
    </row>
    <row r="44" spans="1:19" ht="33" customHeight="1" x14ac:dyDescent="0.5">
      <c r="A44" s="9">
        <v>31</v>
      </c>
      <c r="B44" s="11" t="str">
        <f>[10]รายการสรุป!$E$5</f>
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</c>
      <c r="C44" s="54" t="str">
        <f>[10]รายการสรุป!$I$5</f>
        <v>0700349052410478</v>
      </c>
      <c r="D44" s="55" t="s">
        <v>29</v>
      </c>
      <c r="E44" s="52">
        <f t="shared" ref="E44" si="130">F44+G44</f>
        <v>83000</v>
      </c>
      <c r="F44" s="52">
        <v>0</v>
      </c>
      <c r="G44" s="53">
        <f>[10]รายการสรุป!$J$5</f>
        <v>83000</v>
      </c>
      <c r="H44" s="52">
        <f t="shared" ref="H44" si="131">J44+K44</f>
        <v>82973.2</v>
      </c>
      <c r="I44" s="52">
        <f t="shared" ref="I44" si="132">H44*100/E44</f>
        <v>99.967710843373496</v>
      </c>
      <c r="J44" s="52">
        <v>0</v>
      </c>
      <c r="K44" s="52">
        <f>52372.2+4640+20600+5361</f>
        <v>82973.2</v>
      </c>
      <c r="L44" s="52">
        <f t="shared" ref="L44" si="133">N44+O44</f>
        <v>0</v>
      </c>
      <c r="M44" s="52">
        <f t="shared" ref="M44" si="134">L44*100/E44</f>
        <v>0</v>
      </c>
      <c r="N44" s="52">
        <v>0</v>
      </c>
      <c r="O44" s="52">
        <v>0</v>
      </c>
      <c r="P44" s="52">
        <f t="shared" si="127"/>
        <v>26.80000000000291</v>
      </c>
      <c r="Q44" s="52">
        <f t="shared" ref="Q44" si="135">P44*100/E44</f>
        <v>3.2289156626509531E-2</v>
      </c>
      <c r="R44" s="52">
        <f t="shared" si="128"/>
        <v>0</v>
      </c>
      <c r="S44" s="52">
        <f t="shared" si="129"/>
        <v>26.80000000000291</v>
      </c>
    </row>
    <row r="45" spans="1:19" ht="33" customHeight="1" x14ac:dyDescent="0.5">
      <c r="A45" s="9">
        <v>32</v>
      </c>
      <c r="B45" s="11" t="str">
        <f>[10]รายการสรุป!$E$6</f>
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</c>
      <c r="C45" s="54" t="str">
        <f>[10]รายการสรุป!$I$6</f>
        <v>0700349052410479</v>
      </c>
      <c r="D45" s="55" t="s">
        <v>29</v>
      </c>
      <c r="E45" s="52">
        <f t="shared" ref="E45:E54" si="136">F45+G45</f>
        <v>56700</v>
      </c>
      <c r="F45" s="52">
        <v>0</v>
      </c>
      <c r="G45" s="53">
        <f>[10]รายการสรุป!$J$6</f>
        <v>56700</v>
      </c>
      <c r="H45" s="52">
        <f t="shared" ref="H45:H54" si="137">J45+K45</f>
        <v>56677.3</v>
      </c>
      <c r="I45" s="52">
        <f t="shared" ref="I45:I54" si="138">H45*100/E45</f>
        <v>99.959964726631398</v>
      </c>
      <c r="J45" s="52">
        <v>0</v>
      </c>
      <c r="K45" s="52">
        <f>8153.3+25746+7210+5148+9460+720+240</f>
        <v>56677.3</v>
      </c>
      <c r="L45" s="52">
        <f t="shared" ref="L45:L54" si="139">N45+O45</f>
        <v>0</v>
      </c>
      <c r="M45" s="52">
        <f t="shared" ref="M45:M54" si="140">L45*100/E45</f>
        <v>0</v>
      </c>
      <c r="N45" s="52">
        <v>0</v>
      </c>
      <c r="O45" s="52">
        <v>0</v>
      </c>
      <c r="P45" s="52">
        <f t="shared" ref="P45:P58" si="141">R45+S45</f>
        <v>22.69999999999709</v>
      </c>
      <c r="Q45" s="52">
        <f t="shared" ref="Q45:Q54" si="142">P45*100/E45</f>
        <v>4.0035273368601569E-2</v>
      </c>
      <c r="R45" s="52">
        <f t="shared" ref="R45:R58" si="143">F45-J45-N45</f>
        <v>0</v>
      </c>
      <c r="S45" s="52">
        <f t="shared" ref="S45:S58" si="144">G45-K45-O45</f>
        <v>22.69999999999709</v>
      </c>
    </row>
    <row r="46" spans="1:19" ht="29.25" customHeight="1" x14ac:dyDescent="0.5">
      <c r="A46" s="9">
        <v>33</v>
      </c>
      <c r="B46" s="11" t="str">
        <f>[10]รายการสรุป!$E$7</f>
        <v>ซ่อมแซมอาคารบังคับน้ำอ่างเก็บน้ำห้วยแม่หยวกโครงการชลประทานลำปาง ต.ปงดอน อ.แจ้ห่ม จ.ลำปาง</v>
      </c>
      <c r="C46" s="54" t="str">
        <f>[10]รายการสรุป!$I$7</f>
        <v>0700349052410481</v>
      </c>
      <c r="D46" s="55" t="s">
        <v>29</v>
      </c>
      <c r="E46" s="52">
        <f t="shared" si="136"/>
        <v>3782</v>
      </c>
      <c r="F46" s="52">
        <v>0</v>
      </c>
      <c r="G46" s="53">
        <f>[11]รายการสรุป!$J$7</f>
        <v>3782</v>
      </c>
      <c r="H46" s="52">
        <f t="shared" si="137"/>
        <v>3782</v>
      </c>
      <c r="I46" s="52">
        <f t="shared" si="138"/>
        <v>100</v>
      </c>
      <c r="J46" s="52">
        <v>0</v>
      </c>
      <c r="K46" s="52">
        <f>3782</f>
        <v>3782</v>
      </c>
      <c r="L46" s="52">
        <f t="shared" si="139"/>
        <v>0</v>
      </c>
      <c r="M46" s="52">
        <f t="shared" si="140"/>
        <v>0</v>
      </c>
      <c r="N46" s="52">
        <v>0</v>
      </c>
      <c r="O46" s="52">
        <v>0</v>
      </c>
      <c r="P46" s="52">
        <f t="shared" si="141"/>
        <v>0</v>
      </c>
      <c r="Q46" s="52">
        <f t="shared" si="142"/>
        <v>0</v>
      </c>
      <c r="R46" s="52">
        <f t="shared" si="143"/>
        <v>0</v>
      </c>
      <c r="S46" s="52">
        <f t="shared" si="144"/>
        <v>0</v>
      </c>
    </row>
    <row r="47" spans="1:19" ht="29.25" customHeight="1" x14ac:dyDescent="0.5">
      <c r="A47" s="9">
        <v>34</v>
      </c>
      <c r="B47" s="11" t="str">
        <f>[10]รายการสรุป!$E$8</f>
        <v>ซ่อมแซมอาคารบังคับน้ำอ่างเก็บน้ำห้วยส้มโครงการชลประทานลำปาง ต.บ้านแหง อ.งาว จ.ลำปาง</v>
      </c>
      <c r="C47" s="54" t="str">
        <f>[10]รายการสรุป!$I$8</f>
        <v>0700349052410482</v>
      </c>
      <c r="D47" s="55" t="s">
        <v>29</v>
      </c>
      <c r="E47" s="52">
        <f t="shared" si="136"/>
        <v>1500</v>
      </c>
      <c r="F47" s="52">
        <v>0</v>
      </c>
      <c r="G47" s="53">
        <f>[10]รายการสรุป!$J$8</f>
        <v>1500</v>
      </c>
      <c r="H47" s="52">
        <f t="shared" si="137"/>
        <v>1280</v>
      </c>
      <c r="I47" s="52">
        <f t="shared" si="138"/>
        <v>85.333333333333329</v>
      </c>
      <c r="J47" s="52">
        <v>0</v>
      </c>
      <c r="K47" s="52">
        <f>1280</f>
        <v>1280</v>
      </c>
      <c r="L47" s="52">
        <f t="shared" si="139"/>
        <v>0</v>
      </c>
      <c r="M47" s="52">
        <f t="shared" si="140"/>
        <v>0</v>
      </c>
      <c r="N47" s="52">
        <v>0</v>
      </c>
      <c r="O47" s="52">
        <v>0</v>
      </c>
      <c r="P47" s="52">
        <f t="shared" si="141"/>
        <v>220</v>
      </c>
      <c r="Q47" s="52">
        <f t="shared" si="142"/>
        <v>14.666666666666666</v>
      </c>
      <c r="R47" s="52">
        <f t="shared" si="143"/>
        <v>0</v>
      </c>
      <c r="S47" s="52">
        <f t="shared" si="144"/>
        <v>220</v>
      </c>
    </row>
    <row r="48" spans="1:19" ht="33.75" customHeight="1" x14ac:dyDescent="0.5">
      <c r="A48" s="9">
        <v>35</v>
      </c>
      <c r="B48" s="11" t="str">
        <f>[10]รายการสรุป!$E$9</f>
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</c>
      <c r="C48" s="54" t="str">
        <f>[10]รายการสรุป!$I$9</f>
        <v>0700349052410483</v>
      </c>
      <c r="D48" s="55" t="s">
        <v>29</v>
      </c>
      <c r="E48" s="52">
        <f t="shared" si="136"/>
        <v>62000</v>
      </c>
      <c r="F48" s="52">
        <v>0</v>
      </c>
      <c r="G48" s="53">
        <f>[10]รายการสรุป!$J$9</f>
        <v>62000</v>
      </c>
      <c r="H48" s="52">
        <f t="shared" si="137"/>
        <v>61900.800000000003</v>
      </c>
      <c r="I48" s="52">
        <f t="shared" si="138"/>
        <v>99.84</v>
      </c>
      <c r="J48" s="52">
        <v>0</v>
      </c>
      <c r="K48" s="52">
        <f>34914.8+15180+7300+4506</f>
        <v>61900.800000000003</v>
      </c>
      <c r="L48" s="52">
        <f t="shared" si="139"/>
        <v>0</v>
      </c>
      <c r="M48" s="52">
        <f t="shared" si="140"/>
        <v>0</v>
      </c>
      <c r="N48" s="52">
        <v>0</v>
      </c>
      <c r="O48" s="52">
        <v>0</v>
      </c>
      <c r="P48" s="52">
        <f t="shared" si="141"/>
        <v>99.19999999999709</v>
      </c>
      <c r="Q48" s="52">
        <f t="shared" si="142"/>
        <v>0.15999999999999531</v>
      </c>
      <c r="R48" s="52">
        <f t="shared" si="143"/>
        <v>0</v>
      </c>
      <c r="S48" s="52">
        <f t="shared" si="144"/>
        <v>99.19999999999709</v>
      </c>
    </row>
    <row r="49" spans="1:20" ht="30" customHeight="1" x14ac:dyDescent="0.5">
      <c r="A49" s="9">
        <v>36</v>
      </c>
      <c r="B49" s="11" t="str">
        <f>[10]รายการสรุป!$E$10</f>
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</c>
      <c r="C49" s="54" t="str">
        <f>[10]รายการสรุป!$I$10</f>
        <v>0700349052410484</v>
      </c>
      <c r="D49" s="55" t="s">
        <v>29</v>
      </c>
      <c r="E49" s="52">
        <f t="shared" si="136"/>
        <v>13000</v>
      </c>
      <c r="F49" s="52">
        <v>0</v>
      </c>
      <c r="G49" s="53">
        <f>[10]รายการสรุป!$J$10</f>
        <v>13000</v>
      </c>
      <c r="H49" s="52">
        <f t="shared" si="137"/>
        <v>12926</v>
      </c>
      <c r="I49" s="52">
        <f t="shared" si="138"/>
        <v>99.430769230769229</v>
      </c>
      <c r="J49" s="52">
        <v>0</v>
      </c>
      <c r="K49" s="52">
        <f>720+1280+10926</f>
        <v>12926</v>
      </c>
      <c r="L49" s="52">
        <f t="shared" si="139"/>
        <v>0</v>
      </c>
      <c r="M49" s="52">
        <f t="shared" si="140"/>
        <v>0</v>
      </c>
      <c r="N49" s="52">
        <v>0</v>
      </c>
      <c r="O49" s="52">
        <v>0</v>
      </c>
      <c r="P49" s="52">
        <f t="shared" si="141"/>
        <v>74</v>
      </c>
      <c r="Q49" s="52">
        <f t="shared" si="142"/>
        <v>0.56923076923076921</v>
      </c>
      <c r="R49" s="52">
        <f t="shared" si="143"/>
        <v>0</v>
      </c>
      <c r="S49" s="52">
        <f t="shared" si="144"/>
        <v>74</v>
      </c>
    </row>
    <row r="50" spans="1:20" ht="33" customHeight="1" x14ac:dyDescent="0.5">
      <c r="A50" s="9">
        <v>37</v>
      </c>
      <c r="B50" s="11" t="str">
        <f>[10]รายการสรุป!$E$11</f>
        <v>ซ่อมแซมระบบท่อส่งน้ำอ่างเก็บน้ำแม่จอกโครงการชลประทานลำปาง ต.เสริมซ้าย อ.เสริมงาม จ.ลำปาง</v>
      </c>
      <c r="C50" s="54" t="str">
        <f>[10]รายการสรุป!$I$11</f>
        <v>0700349052410485</v>
      </c>
      <c r="D50" s="55" t="s">
        <v>29</v>
      </c>
      <c r="E50" s="52">
        <f t="shared" si="136"/>
        <v>14100</v>
      </c>
      <c r="F50" s="52">
        <v>0</v>
      </c>
      <c r="G50" s="53">
        <f>[10]รายการสรุป!$J$11</f>
        <v>14100</v>
      </c>
      <c r="H50" s="52">
        <f t="shared" si="137"/>
        <v>2620</v>
      </c>
      <c r="I50" s="52">
        <f t="shared" si="138"/>
        <v>18.581560283687942</v>
      </c>
      <c r="J50" s="52">
        <v>0</v>
      </c>
      <c r="K50" s="52">
        <f>2620</f>
        <v>2620</v>
      </c>
      <c r="L50" s="52">
        <f t="shared" si="139"/>
        <v>0</v>
      </c>
      <c r="M50" s="52">
        <f t="shared" si="140"/>
        <v>0</v>
      </c>
      <c r="N50" s="52">
        <v>0</v>
      </c>
      <c r="O50" s="52">
        <v>0</v>
      </c>
      <c r="P50" s="52">
        <f t="shared" si="141"/>
        <v>11480</v>
      </c>
      <c r="Q50" s="52">
        <f t="shared" si="142"/>
        <v>81.418439716312051</v>
      </c>
      <c r="R50" s="52">
        <f t="shared" si="143"/>
        <v>0</v>
      </c>
      <c r="S50" s="52">
        <f t="shared" si="144"/>
        <v>11480</v>
      </c>
    </row>
    <row r="51" spans="1:20" ht="33" customHeight="1" x14ac:dyDescent="0.5">
      <c r="A51" s="9">
        <v>38</v>
      </c>
      <c r="B51" s="11" t="str">
        <f>[10]รายการสรุป!$E$12</f>
        <v>ซ่อมแซมระบบส่งน้ำแม่ตา LMCอ่างเก็บน้ำแม่ตา โครงการชลประทานลำปาง ต.ปงดอน อ.แจ้ห่ม จ.ลำปาง</v>
      </c>
      <c r="C51" s="54" t="str">
        <f>[10]รายการสรุป!$I$12</f>
        <v>0700349052410486</v>
      </c>
      <c r="D51" s="55" t="s">
        <v>29</v>
      </c>
      <c r="E51" s="52">
        <f t="shared" si="136"/>
        <v>0</v>
      </c>
      <c r="F51" s="52">
        <v>0</v>
      </c>
      <c r="G51" s="53">
        <f>[11]รายการสรุป!$J$12</f>
        <v>0</v>
      </c>
      <c r="H51" s="52">
        <f t="shared" si="137"/>
        <v>0</v>
      </c>
      <c r="I51" s="52" t="e">
        <f t="shared" si="138"/>
        <v>#DIV/0!</v>
      </c>
      <c r="J51" s="52">
        <v>0</v>
      </c>
      <c r="K51" s="52"/>
      <c r="L51" s="52">
        <f t="shared" si="139"/>
        <v>0</v>
      </c>
      <c r="M51" s="52" t="e">
        <f t="shared" si="140"/>
        <v>#DIV/0!</v>
      </c>
      <c r="N51" s="52">
        <v>0</v>
      </c>
      <c r="O51" s="52">
        <v>0</v>
      </c>
      <c r="P51" s="52">
        <f t="shared" si="141"/>
        <v>0</v>
      </c>
      <c r="Q51" s="52" t="e">
        <f t="shared" si="142"/>
        <v>#DIV/0!</v>
      </c>
      <c r="R51" s="52">
        <f t="shared" si="143"/>
        <v>0</v>
      </c>
      <c r="S51" s="52">
        <f t="shared" si="144"/>
        <v>0</v>
      </c>
      <c r="T51" s="1" t="s">
        <v>58</v>
      </c>
    </row>
    <row r="52" spans="1:20" ht="33" customHeight="1" x14ac:dyDescent="0.5">
      <c r="A52" s="9">
        <v>39</v>
      </c>
      <c r="B52" s="11" t="str">
        <f>[10]รายการสรุป!$E$13</f>
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</c>
      <c r="C52" s="54" t="str">
        <f>[10]รายการสรุป!$I$13</f>
        <v>0700349052410487</v>
      </c>
      <c r="D52" s="55" t="s">
        <v>29</v>
      </c>
      <c r="E52" s="52">
        <f t="shared" si="136"/>
        <v>35000</v>
      </c>
      <c r="F52" s="52">
        <v>0</v>
      </c>
      <c r="G52" s="53">
        <f>[10]รายการสรุป!$J$13</f>
        <v>35000</v>
      </c>
      <c r="H52" s="52">
        <f t="shared" si="137"/>
        <v>30699.86</v>
      </c>
      <c r="I52" s="52">
        <f t="shared" si="138"/>
        <v>87.713885714285709</v>
      </c>
      <c r="J52" s="52">
        <v>0</v>
      </c>
      <c r="K52" s="52">
        <f>7400.07+3360+1740+11972+5187.79+1040</f>
        <v>30699.86</v>
      </c>
      <c r="L52" s="52">
        <f t="shared" si="139"/>
        <v>0</v>
      </c>
      <c r="M52" s="52">
        <f t="shared" si="140"/>
        <v>0</v>
      </c>
      <c r="N52" s="52">
        <v>0</v>
      </c>
      <c r="O52" s="52">
        <v>0</v>
      </c>
      <c r="P52" s="52">
        <f t="shared" si="141"/>
        <v>4300.1399999999994</v>
      </c>
      <c r="Q52" s="52">
        <f t="shared" si="142"/>
        <v>12.286114285714284</v>
      </c>
      <c r="R52" s="52">
        <f t="shared" si="143"/>
        <v>0</v>
      </c>
      <c r="S52" s="52">
        <f t="shared" si="144"/>
        <v>4300.1399999999994</v>
      </c>
    </row>
    <row r="53" spans="1:20" ht="33" customHeight="1" x14ac:dyDescent="0.5">
      <c r="A53" s="9">
        <v>40</v>
      </c>
      <c r="B53" s="11" t="str">
        <f>[10]รายการสรุป!$E$14</f>
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</c>
      <c r="C53" s="54" t="str">
        <f>[10]รายการสรุป!$I$14</f>
        <v>0700349052410488</v>
      </c>
      <c r="D53" s="55" t="s">
        <v>29</v>
      </c>
      <c r="E53" s="52">
        <f t="shared" si="136"/>
        <v>34200</v>
      </c>
      <c r="F53" s="52">
        <v>0</v>
      </c>
      <c r="G53" s="53">
        <f>[10]รายการสรุป!$J$14</f>
        <v>34200</v>
      </c>
      <c r="H53" s="52">
        <f t="shared" si="137"/>
        <v>34121.4</v>
      </c>
      <c r="I53" s="52">
        <f t="shared" si="138"/>
        <v>99.770175438596496</v>
      </c>
      <c r="J53" s="52">
        <v>0</v>
      </c>
      <c r="K53" s="52">
        <f>9441.4+9920+1720+13040</f>
        <v>34121.4</v>
      </c>
      <c r="L53" s="52">
        <f t="shared" si="139"/>
        <v>0</v>
      </c>
      <c r="M53" s="52">
        <f t="shared" si="140"/>
        <v>0</v>
      </c>
      <c r="N53" s="52">
        <v>0</v>
      </c>
      <c r="O53" s="52">
        <v>0</v>
      </c>
      <c r="P53" s="52">
        <f t="shared" si="141"/>
        <v>78.599999999998545</v>
      </c>
      <c r="Q53" s="52">
        <f t="shared" si="142"/>
        <v>0.22982456140350452</v>
      </c>
      <c r="R53" s="52">
        <f t="shared" si="143"/>
        <v>0</v>
      </c>
      <c r="S53" s="52">
        <f t="shared" si="144"/>
        <v>78.599999999998545</v>
      </c>
    </row>
    <row r="54" spans="1:20" ht="29.25" customHeight="1" x14ac:dyDescent="0.5">
      <c r="A54" s="9">
        <v>41</v>
      </c>
      <c r="B54" s="11" t="str">
        <f>[10]รายการสรุป!$E$15</f>
        <v>ซ่อมแซมระบบส่งน้ำทุ่งแอดระยะที่ 1โครงการชลประทานลำปาง ต.บ้านขอ อ.เมืองปาน จ.ลำปาง</v>
      </c>
      <c r="C54" s="54" t="str">
        <f>[10]รายการสรุป!$I$15</f>
        <v>0700349052410489</v>
      </c>
      <c r="D54" s="55" t="s">
        <v>29</v>
      </c>
      <c r="E54" s="52">
        <f t="shared" si="136"/>
        <v>56000</v>
      </c>
      <c r="F54" s="52">
        <v>0</v>
      </c>
      <c r="G54" s="53">
        <f>[10]รายการสรุป!$J$15</f>
        <v>56000</v>
      </c>
      <c r="H54" s="52">
        <f t="shared" si="137"/>
        <v>55846.8</v>
      </c>
      <c r="I54" s="52">
        <f t="shared" si="138"/>
        <v>99.726428571428571</v>
      </c>
      <c r="J54" s="52">
        <v>0</v>
      </c>
      <c r="K54" s="52">
        <f>34914.8+4278+3934+11440+1280</f>
        <v>55846.8</v>
      </c>
      <c r="L54" s="52">
        <f t="shared" si="139"/>
        <v>0</v>
      </c>
      <c r="M54" s="52">
        <f t="shared" si="140"/>
        <v>0</v>
      </c>
      <c r="N54" s="52">
        <v>0</v>
      </c>
      <c r="O54" s="52">
        <v>0</v>
      </c>
      <c r="P54" s="52">
        <f t="shared" si="141"/>
        <v>153.19999999999709</v>
      </c>
      <c r="Q54" s="52">
        <f t="shared" si="142"/>
        <v>0.27357142857142336</v>
      </c>
      <c r="R54" s="52">
        <f t="shared" si="143"/>
        <v>0</v>
      </c>
      <c r="S54" s="52">
        <f t="shared" si="144"/>
        <v>153.19999999999709</v>
      </c>
    </row>
    <row r="55" spans="1:20" ht="29.25" customHeight="1" x14ac:dyDescent="0.5">
      <c r="A55" s="9">
        <v>42</v>
      </c>
      <c r="B55" s="11" t="str">
        <f>[11]รายการสรุป!$E$16</f>
        <v>ซ่อมแซมคลองส่งน้ำซอยทุ่งใน อ่างเก็บน้ำแพะทุ่งกว๋าว โครงการชลประทานลำปาง ต.ทุ่งกว๋าว อ.เมืองปาน  จ.ลำปาง</v>
      </c>
      <c r="C55" s="54" t="str">
        <f>[11]รายการสรุป!$I$16</f>
        <v>0700349052410480</v>
      </c>
      <c r="D55" s="55" t="s">
        <v>60</v>
      </c>
      <c r="E55" s="52">
        <f t="shared" ref="E55" si="145">F55+G55</f>
        <v>35000</v>
      </c>
      <c r="F55" s="52">
        <v>0</v>
      </c>
      <c r="G55" s="53">
        <f>[11]รายการสรุป!$J$16</f>
        <v>35000</v>
      </c>
      <c r="H55" s="52">
        <f t="shared" ref="H55" si="146">J55+K55</f>
        <v>34970.400000000001</v>
      </c>
      <c r="I55" s="52">
        <f t="shared" ref="I55" si="147">H55*100/E55</f>
        <v>99.915428571428578</v>
      </c>
      <c r="J55" s="52">
        <v>0</v>
      </c>
      <c r="K55" s="52">
        <f>23257+10673.4+1040</f>
        <v>34970.400000000001</v>
      </c>
      <c r="L55" s="52">
        <f t="shared" ref="L55" si="148">N55+O55</f>
        <v>0</v>
      </c>
      <c r="M55" s="52">
        <f t="shared" ref="M55" si="149">L55*100/E55</f>
        <v>0</v>
      </c>
      <c r="N55" s="52">
        <v>0</v>
      </c>
      <c r="O55" s="52">
        <v>0</v>
      </c>
      <c r="P55" s="52">
        <f t="shared" ref="P55" si="150">R55+S55</f>
        <v>29.599999999998545</v>
      </c>
      <c r="Q55" s="52">
        <f t="shared" ref="Q55" si="151">P55*100/E55</f>
        <v>8.4571428571424412E-2</v>
      </c>
      <c r="R55" s="52">
        <f t="shared" ref="R55" si="152">F55-J55-N55</f>
        <v>0</v>
      </c>
      <c r="S55" s="52">
        <f t="shared" ref="S55" si="153">G55-K55-O55</f>
        <v>29.599999999998545</v>
      </c>
    </row>
    <row r="56" spans="1:20" ht="29.25" customHeight="1" x14ac:dyDescent="0.5">
      <c r="A56" s="9">
        <v>43</v>
      </c>
      <c r="B56" s="11" t="str">
        <f>[11]รายการสรุป!$E$17</f>
        <v>ซ่อมแซมพนังป้องกันตลิ่งแม่น้ำวังท้ายเขื่อนกิ่วคอหมาเพื่อป้องกันน้ำท่วมกม.14+450 ยาว 100 เมตร</v>
      </c>
      <c r="C56" s="54" t="str">
        <f>[11]รายการสรุป!$I$17</f>
        <v>0700349052410ZS4</v>
      </c>
      <c r="D56" s="55" t="s">
        <v>77</v>
      </c>
      <c r="E56" s="52">
        <f t="shared" ref="E56" si="154">F56+G56</f>
        <v>45000</v>
      </c>
      <c r="F56" s="52">
        <v>0</v>
      </c>
      <c r="G56" s="53">
        <f>[11]รายการสรุป!$J$17</f>
        <v>45000</v>
      </c>
      <c r="H56" s="52">
        <f t="shared" ref="H56" si="155">J56+K56</f>
        <v>25563.59</v>
      </c>
      <c r="I56" s="52">
        <f t="shared" ref="I56" si="156">H56*100/E56</f>
        <v>56.807977777777779</v>
      </c>
      <c r="J56" s="52">
        <v>0</v>
      </c>
      <c r="K56" s="52">
        <f>7720+17843.59</f>
        <v>25563.59</v>
      </c>
      <c r="L56" s="52">
        <f t="shared" ref="L56" si="157">N56+O56</f>
        <v>0</v>
      </c>
      <c r="M56" s="52">
        <f t="shared" ref="M56" si="158">L56*100/E56</f>
        <v>0</v>
      </c>
      <c r="N56" s="52">
        <v>0</v>
      </c>
      <c r="O56" s="52">
        <v>0</v>
      </c>
      <c r="P56" s="52">
        <f t="shared" ref="P56" si="159">R56+S56</f>
        <v>19436.41</v>
      </c>
      <c r="Q56" s="52">
        <f t="shared" ref="Q56" si="160">P56*100/E56</f>
        <v>43.192022222222221</v>
      </c>
      <c r="R56" s="52">
        <f t="shared" ref="R56" si="161">F56-J56-N56</f>
        <v>0</v>
      </c>
      <c r="S56" s="52">
        <f t="shared" ref="S56" si="162">G56-K56-O56</f>
        <v>19436.41</v>
      </c>
    </row>
    <row r="57" spans="1:20" ht="29.25" customHeight="1" x14ac:dyDescent="0.5">
      <c r="A57" s="9">
        <v>44</v>
      </c>
      <c r="B57" s="11" t="str">
        <f>[11]รายการสรุป!$E$18</f>
        <v>ซ่อมแซมระบบส่งน้ำ 1L-LMCอ่างเก็บน้ำแม่ปอบ โครงการชลประทานลำปาง ต.ปงดอน อ.แจ้ห่ม จ.ลำปาง</v>
      </c>
      <c r="C57" s="54" t="str">
        <f>[11]รายการสรุป!$I$18</f>
        <v>0700349052410ZDX</v>
      </c>
      <c r="D57" s="55" t="s">
        <v>85</v>
      </c>
      <c r="E57" s="52">
        <f t="shared" ref="E57" si="163">F57+G57</f>
        <v>15000</v>
      </c>
      <c r="F57" s="52">
        <v>0</v>
      </c>
      <c r="G57" s="53">
        <f>[11]รายการสรุป!$J$18</f>
        <v>15000</v>
      </c>
      <c r="H57" s="52">
        <f t="shared" ref="H57" si="164">J57+K57</f>
        <v>13687.01</v>
      </c>
      <c r="I57" s="52">
        <f t="shared" ref="I57" si="165">H57*100/E57</f>
        <v>91.246733333333339</v>
      </c>
      <c r="J57" s="52">
        <v>0</v>
      </c>
      <c r="K57" s="52">
        <f>2427.01+7900+3360</f>
        <v>13687.01</v>
      </c>
      <c r="L57" s="52">
        <f t="shared" ref="L57" si="166">N57+O57</f>
        <v>0</v>
      </c>
      <c r="M57" s="52">
        <f t="shared" ref="M57" si="167">L57*100/E57</f>
        <v>0</v>
      </c>
      <c r="N57" s="52">
        <v>0</v>
      </c>
      <c r="O57" s="52">
        <v>0</v>
      </c>
      <c r="P57" s="52">
        <f t="shared" ref="P57" si="168">R57+S57</f>
        <v>1312.9899999999998</v>
      </c>
      <c r="Q57" s="52">
        <f t="shared" ref="Q57" si="169">P57*100/E57</f>
        <v>8.753266666666665</v>
      </c>
      <c r="R57" s="52">
        <f t="shared" ref="R57" si="170">F57-J57-N57</f>
        <v>0</v>
      </c>
      <c r="S57" s="52">
        <f t="shared" ref="S57" si="171">G57-K57-O57</f>
        <v>1312.9899999999998</v>
      </c>
    </row>
    <row r="58" spans="1:20" ht="31.5" customHeight="1" x14ac:dyDescent="0.5">
      <c r="A58" s="9"/>
      <c r="B58" s="18" t="s">
        <v>24</v>
      </c>
      <c r="C58" s="18"/>
      <c r="D58" s="24"/>
      <c r="E58" s="19">
        <f>F58+G58</f>
        <v>609679.22</v>
      </c>
      <c r="F58" s="19">
        <f>SUM(F59:F77)</f>
        <v>0</v>
      </c>
      <c r="G58" s="19">
        <f>SUM(G59:G78)</f>
        <v>609679.22</v>
      </c>
      <c r="H58" s="19">
        <f>J58+K58</f>
        <v>577237.32999999996</v>
      </c>
      <c r="I58" s="19">
        <f>H58*100/E58</f>
        <v>94.67885915481915</v>
      </c>
      <c r="J58" s="19">
        <f>SUM(J59:J77)</f>
        <v>0</v>
      </c>
      <c r="K58" s="19">
        <f>SUM(K59:K78)</f>
        <v>577237.32999999996</v>
      </c>
      <c r="L58" s="19">
        <f>N58+O58</f>
        <v>0</v>
      </c>
      <c r="M58" s="19">
        <f>L58*100/E58</f>
        <v>0</v>
      </c>
      <c r="N58" s="19">
        <f>SUM(N59:N77)</f>
        <v>0</v>
      </c>
      <c r="O58" s="19">
        <f>SUM(O59:O78)</f>
        <v>0</v>
      </c>
      <c r="P58" s="19">
        <f t="shared" si="141"/>
        <v>32441.890000000014</v>
      </c>
      <c r="Q58" s="19">
        <f>P58*100/E58</f>
        <v>5.3211408451808504</v>
      </c>
      <c r="R58" s="19">
        <f t="shared" si="143"/>
        <v>0</v>
      </c>
      <c r="S58" s="19">
        <f t="shared" si="144"/>
        <v>32441.890000000014</v>
      </c>
    </row>
    <row r="59" spans="1:20" ht="30.75" customHeight="1" x14ac:dyDescent="0.5">
      <c r="A59" s="9">
        <v>45</v>
      </c>
      <c r="B59" s="11" t="str">
        <f>[12]รายการสรุป!$E$5</f>
        <v>ซ่อมแซมคลองส่งน้ำอ่างเก็บน้ำแม่ใจโครงการชลประทานพะเยา ต.เจริญราษฎร์ อ.แม่ใจ จ.พะเยา</v>
      </c>
      <c r="C59" s="54" t="str">
        <f>[12]รายการสรุป!$I$5</f>
        <v>0700349052410457</v>
      </c>
      <c r="D59" s="55" t="s">
        <v>29</v>
      </c>
      <c r="E59" s="52">
        <f t="shared" ref="E59" si="172">F59+G59</f>
        <v>38996.1</v>
      </c>
      <c r="F59" s="52">
        <v>0</v>
      </c>
      <c r="G59" s="53">
        <f>[13]รายการสรุป!$J$5</f>
        <v>38996.1</v>
      </c>
      <c r="H59" s="52">
        <f t="shared" ref="H59" si="173">J59+K59</f>
        <v>38996.1</v>
      </c>
      <c r="I59" s="52">
        <f t="shared" ref="I59" si="174">H59*100/E59</f>
        <v>100</v>
      </c>
      <c r="J59" s="52">
        <v>0</v>
      </c>
      <c r="K59" s="52">
        <f>26186.1+2320+10010+480</f>
        <v>38996.1</v>
      </c>
      <c r="L59" s="52">
        <f t="shared" ref="L59" si="175">N59+O59</f>
        <v>0</v>
      </c>
      <c r="M59" s="52">
        <f t="shared" ref="M59" si="176">L59*100/E59</f>
        <v>0</v>
      </c>
      <c r="N59" s="52">
        <v>0</v>
      </c>
      <c r="O59" s="52">
        <v>0</v>
      </c>
      <c r="P59" s="52">
        <f t="shared" ref="P59" si="177">R59+S59</f>
        <v>0</v>
      </c>
      <c r="Q59" s="52">
        <f t="shared" ref="Q59" si="178">P59*100/E59</f>
        <v>0</v>
      </c>
      <c r="R59" s="52">
        <f t="shared" ref="R59" si="179">F59-J59-N59</f>
        <v>0</v>
      </c>
      <c r="S59" s="52">
        <f t="shared" ref="S59" si="180">G59-K59-O59</f>
        <v>0</v>
      </c>
    </row>
    <row r="60" spans="1:20" ht="30.75" customHeight="1" x14ac:dyDescent="0.5">
      <c r="A60" s="9">
        <v>46</v>
      </c>
      <c r="B60" s="11" t="str">
        <f>[12]รายการสรุป!$E$6</f>
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</c>
      <c r="C60" s="54" t="str">
        <f>[12]รายการสรุป!$I$6</f>
        <v>0700349052410458</v>
      </c>
      <c r="D60" s="55" t="s">
        <v>29</v>
      </c>
      <c r="E60" s="52">
        <f t="shared" ref="E60:E77" si="181">F60+G60</f>
        <v>22158.080000000002</v>
      </c>
      <c r="F60" s="52">
        <v>0</v>
      </c>
      <c r="G60" s="53">
        <f>[13]รายการสรุป!$J$6</f>
        <v>22158.080000000002</v>
      </c>
      <c r="H60" s="52">
        <f t="shared" ref="H60:H77" si="182">J60+K60</f>
        <v>22158.080000000002</v>
      </c>
      <c r="I60" s="52">
        <f t="shared" ref="I60:I77" si="183">H60*100/E60</f>
        <v>99.999999999999986</v>
      </c>
      <c r="J60" s="52">
        <v>0</v>
      </c>
      <c r="K60" s="52">
        <f>9396+5890+6872.08</f>
        <v>22158.080000000002</v>
      </c>
      <c r="L60" s="52">
        <f t="shared" ref="L60:L77" si="184">N60+O60</f>
        <v>0</v>
      </c>
      <c r="M60" s="52">
        <f t="shared" ref="M60:M77" si="185">L60*100/E60</f>
        <v>0</v>
      </c>
      <c r="N60" s="52">
        <v>0</v>
      </c>
      <c r="O60" s="52">
        <v>0</v>
      </c>
      <c r="P60" s="52">
        <f t="shared" ref="P60:P79" si="186">R60+S60</f>
        <v>0</v>
      </c>
      <c r="Q60" s="52">
        <f t="shared" ref="Q60:Q77" si="187">P60*100/E60</f>
        <v>0</v>
      </c>
      <c r="R60" s="52">
        <f t="shared" ref="R60:R79" si="188">F60-J60-N60</f>
        <v>0</v>
      </c>
      <c r="S60" s="52">
        <f t="shared" ref="S60:S79" si="189">G60-K60-O60</f>
        <v>0</v>
      </c>
    </row>
    <row r="61" spans="1:20" ht="30.75" customHeight="1" x14ac:dyDescent="0.5">
      <c r="A61" s="9">
        <v>47</v>
      </c>
      <c r="B61" s="11" t="str">
        <f>[12]รายการสรุป!$E$7</f>
        <v>ซ่อมแซมคลองส่งน้ำสาย1L-LMCอ่างเก็บน้ำห้วยซ้ายโครงการชลประทานพะเยา ต.ทุ่งกล้วย อ.ภูซาง จ.พะเยา</v>
      </c>
      <c r="C61" s="54" t="str">
        <f>[12]รายการสรุป!$I$7</f>
        <v>0700349052410459</v>
      </c>
      <c r="D61" s="55" t="s">
        <v>29</v>
      </c>
      <c r="E61" s="52">
        <f t="shared" si="181"/>
        <v>13800</v>
      </c>
      <c r="F61" s="52">
        <v>0</v>
      </c>
      <c r="G61" s="53">
        <f>[12]รายการสรุป!$J$7</f>
        <v>13800</v>
      </c>
      <c r="H61" s="52">
        <f t="shared" si="182"/>
        <v>11897.7</v>
      </c>
      <c r="I61" s="52">
        <f t="shared" si="183"/>
        <v>86.21521739130435</v>
      </c>
      <c r="J61" s="52">
        <v>0</v>
      </c>
      <c r="K61" s="52">
        <f>8728.7+3169</f>
        <v>11897.7</v>
      </c>
      <c r="L61" s="52">
        <f t="shared" si="184"/>
        <v>0</v>
      </c>
      <c r="M61" s="52">
        <f t="shared" si="185"/>
        <v>0</v>
      </c>
      <c r="N61" s="52">
        <v>0</v>
      </c>
      <c r="O61" s="52">
        <v>0</v>
      </c>
      <c r="P61" s="52">
        <f t="shared" si="186"/>
        <v>1902.2999999999993</v>
      </c>
      <c r="Q61" s="52">
        <f t="shared" si="187"/>
        <v>13.784782608695648</v>
      </c>
      <c r="R61" s="52">
        <f t="shared" si="188"/>
        <v>0</v>
      </c>
      <c r="S61" s="52">
        <f t="shared" si="189"/>
        <v>1902.2999999999993</v>
      </c>
    </row>
    <row r="62" spans="1:20" ht="45.75" customHeight="1" x14ac:dyDescent="0.5">
      <c r="A62" s="9">
        <v>48</v>
      </c>
      <c r="B62" s="11" t="str">
        <f>[12]รายการสรุป!$E$8</f>
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</c>
      <c r="C62" s="54" t="str">
        <f>[12]รายการสรุป!$I$8</f>
        <v>0700349052410460</v>
      </c>
      <c r="D62" s="55" t="s">
        <v>29</v>
      </c>
      <c r="E62" s="52">
        <f t="shared" si="181"/>
        <v>46600</v>
      </c>
      <c r="F62" s="52">
        <v>0</v>
      </c>
      <c r="G62" s="53">
        <f>[13]รายการสรุป!$J$8</f>
        <v>46600</v>
      </c>
      <c r="H62" s="52">
        <f t="shared" si="182"/>
        <v>46188.11</v>
      </c>
      <c r="I62" s="52">
        <f t="shared" si="183"/>
        <v>99.116115879828328</v>
      </c>
      <c r="J62" s="52">
        <v>0</v>
      </c>
      <c r="K62" s="52">
        <f>26186.1+6960+4482.01+8560</f>
        <v>46188.11</v>
      </c>
      <c r="L62" s="52">
        <f t="shared" si="184"/>
        <v>0</v>
      </c>
      <c r="M62" s="52">
        <f t="shared" si="185"/>
        <v>0</v>
      </c>
      <c r="N62" s="52">
        <v>0</v>
      </c>
      <c r="O62" s="52">
        <v>0</v>
      </c>
      <c r="P62" s="52">
        <f t="shared" si="186"/>
        <v>411.88999999999942</v>
      </c>
      <c r="Q62" s="52">
        <f t="shared" si="187"/>
        <v>0.88388412017167262</v>
      </c>
      <c r="R62" s="52">
        <f t="shared" si="188"/>
        <v>0</v>
      </c>
      <c r="S62" s="52">
        <f t="shared" si="189"/>
        <v>411.88999999999942</v>
      </c>
    </row>
    <row r="63" spans="1:20" ht="30.75" customHeight="1" x14ac:dyDescent="0.5">
      <c r="A63" s="9">
        <v>49</v>
      </c>
      <c r="B63" s="11" t="str">
        <f>[12]รายการสรุป!$E$9</f>
        <v>ซ่อมแซมคลองส่งน้ำสายทุ่งขามอ่างเก็บน้ำห้วยไฟโครงการชลประทานพะเยา ต.ป่าสัก อ.ภูซาง จ.พะเยา</v>
      </c>
      <c r="C63" s="54" t="str">
        <f>[12]รายการสรุป!$I$9</f>
        <v>0700349052410461</v>
      </c>
      <c r="D63" s="55" t="s">
        <v>29</v>
      </c>
      <c r="E63" s="52">
        <f t="shared" si="181"/>
        <v>44400</v>
      </c>
      <c r="F63" s="52">
        <v>0</v>
      </c>
      <c r="G63" s="53">
        <f>[12]รายการสรุป!$J$9</f>
        <v>44400</v>
      </c>
      <c r="H63" s="52">
        <f t="shared" si="182"/>
        <v>42448.829999999994</v>
      </c>
      <c r="I63" s="52">
        <f t="shared" si="183"/>
        <v>95.605472972972947</v>
      </c>
      <c r="J63" s="52">
        <v>0</v>
      </c>
      <c r="K63" s="52">
        <f>28324.2+8872+5252.63</f>
        <v>42448.829999999994</v>
      </c>
      <c r="L63" s="52">
        <f t="shared" si="184"/>
        <v>0</v>
      </c>
      <c r="M63" s="52">
        <f t="shared" si="185"/>
        <v>0</v>
      </c>
      <c r="N63" s="52">
        <v>0</v>
      </c>
      <c r="O63" s="52">
        <v>0</v>
      </c>
      <c r="P63" s="52">
        <f t="shared" si="186"/>
        <v>1951.1700000000055</v>
      </c>
      <c r="Q63" s="52">
        <f t="shared" si="187"/>
        <v>4.3945270270270393</v>
      </c>
      <c r="R63" s="52">
        <f t="shared" si="188"/>
        <v>0</v>
      </c>
      <c r="S63" s="52">
        <f t="shared" si="189"/>
        <v>1951.1700000000055</v>
      </c>
    </row>
    <row r="64" spans="1:20" ht="30.75" customHeight="1" x14ac:dyDescent="0.5">
      <c r="A64" s="9">
        <v>50</v>
      </c>
      <c r="B64" s="11" t="str">
        <f>[12]รายการสรุป!$E$10</f>
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</c>
      <c r="C64" s="54" t="str">
        <f>[12]รายการสรุป!$I$10</f>
        <v>0700349052410462</v>
      </c>
      <c r="D64" s="55" t="s">
        <v>29</v>
      </c>
      <c r="E64" s="52">
        <f t="shared" si="181"/>
        <v>34926.559999999998</v>
      </c>
      <c r="F64" s="52">
        <v>0</v>
      </c>
      <c r="G64" s="53">
        <f>[13]รายการสรุป!$J$10</f>
        <v>34926.559999999998</v>
      </c>
      <c r="H64" s="52">
        <f t="shared" si="182"/>
        <v>34926.559999999998</v>
      </c>
      <c r="I64" s="52">
        <f t="shared" si="183"/>
        <v>100</v>
      </c>
      <c r="J64" s="52">
        <v>0</v>
      </c>
      <c r="K64" s="52">
        <f>8331.85+2320+9125.55+1280+5880+7989.16</f>
        <v>34926.559999999998</v>
      </c>
      <c r="L64" s="52">
        <f t="shared" si="184"/>
        <v>0</v>
      </c>
      <c r="M64" s="52">
        <f t="shared" si="185"/>
        <v>0</v>
      </c>
      <c r="N64" s="52">
        <v>0</v>
      </c>
      <c r="O64" s="52">
        <v>0</v>
      </c>
      <c r="P64" s="52">
        <f t="shared" si="186"/>
        <v>0</v>
      </c>
      <c r="Q64" s="52">
        <f t="shared" si="187"/>
        <v>0</v>
      </c>
      <c r="R64" s="52">
        <f t="shared" si="188"/>
        <v>0</v>
      </c>
      <c r="S64" s="52">
        <f t="shared" si="189"/>
        <v>0</v>
      </c>
    </row>
    <row r="65" spans="1:19" ht="30.75" customHeight="1" x14ac:dyDescent="0.5">
      <c r="A65" s="9">
        <v>51</v>
      </c>
      <c r="B65" s="11" t="str">
        <f>[12]รายการสรุป!$E$11</f>
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</c>
      <c r="C65" s="54" t="str">
        <f>[12]รายการสรุป!$I$11</f>
        <v>0700349052410463</v>
      </c>
      <c r="D65" s="55" t="s">
        <v>29</v>
      </c>
      <c r="E65" s="52">
        <f t="shared" si="181"/>
        <v>20686.669999999998</v>
      </c>
      <c r="F65" s="52">
        <v>0</v>
      </c>
      <c r="G65" s="53">
        <f>[13]รายการสรุป!$J$11</f>
        <v>20686.669999999998</v>
      </c>
      <c r="H65" s="52">
        <f t="shared" si="182"/>
        <v>20686.669999999998</v>
      </c>
      <c r="I65" s="52">
        <f t="shared" si="183"/>
        <v>100</v>
      </c>
      <c r="J65" s="52">
        <v>0</v>
      </c>
      <c r="K65" s="52">
        <f>14417+6269.67</f>
        <v>20686.669999999998</v>
      </c>
      <c r="L65" s="52">
        <f t="shared" si="184"/>
        <v>0</v>
      </c>
      <c r="M65" s="52">
        <f t="shared" si="185"/>
        <v>0</v>
      </c>
      <c r="N65" s="52">
        <v>0</v>
      </c>
      <c r="O65" s="52">
        <v>0</v>
      </c>
      <c r="P65" s="52">
        <f t="shared" si="186"/>
        <v>0</v>
      </c>
      <c r="Q65" s="52">
        <f t="shared" si="187"/>
        <v>0</v>
      </c>
      <c r="R65" s="52">
        <f t="shared" si="188"/>
        <v>0</v>
      </c>
      <c r="S65" s="52">
        <f t="shared" si="189"/>
        <v>0</v>
      </c>
    </row>
    <row r="66" spans="1:19" ht="30.75" customHeight="1" x14ac:dyDescent="0.5">
      <c r="A66" s="9">
        <v>52</v>
      </c>
      <c r="B66" s="11" t="str">
        <f>[12]รายการสรุป!$E$12</f>
        <v>ซ่อมแซมคลองส่งน้ำสาย5R-RMCอ่างเก็บน้ำห้วยสาโครงการชลประทานพะเยา ต.ร่มเย็น อ.เชียงคำ จ.พะเยา</v>
      </c>
      <c r="C66" s="54" t="str">
        <f>[12]รายการสรุป!$I$12</f>
        <v>0700349052410464</v>
      </c>
      <c r="D66" s="55" t="s">
        <v>29</v>
      </c>
      <c r="E66" s="52">
        <f t="shared" si="181"/>
        <v>14100</v>
      </c>
      <c r="F66" s="52">
        <v>0</v>
      </c>
      <c r="G66" s="53">
        <f>[12]รายการสรุป!$J$12</f>
        <v>14100</v>
      </c>
      <c r="H66" s="52">
        <f t="shared" si="182"/>
        <v>9840</v>
      </c>
      <c r="I66" s="52">
        <f t="shared" si="183"/>
        <v>69.787234042553195</v>
      </c>
      <c r="J66" s="52">
        <v>0</v>
      </c>
      <c r="K66" s="52">
        <f>9840</f>
        <v>9840</v>
      </c>
      <c r="L66" s="52">
        <f t="shared" si="184"/>
        <v>0</v>
      </c>
      <c r="M66" s="52">
        <f t="shared" si="185"/>
        <v>0</v>
      </c>
      <c r="N66" s="52">
        <v>0</v>
      </c>
      <c r="O66" s="52">
        <v>0</v>
      </c>
      <c r="P66" s="52">
        <f t="shared" si="186"/>
        <v>4260</v>
      </c>
      <c r="Q66" s="52">
        <f t="shared" si="187"/>
        <v>30.212765957446809</v>
      </c>
      <c r="R66" s="52">
        <f t="shared" si="188"/>
        <v>0</v>
      </c>
      <c r="S66" s="52">
        <f t="shared" si="189"/>
        <v>4260</v>
      </c>
    </row>
    <row r="67" spans="1:19" ht="50.25" customHeight="1" x14ac:dyDescent="0.5">
      <c r="A67" s="9">
        <v>53</v>
      </c>
      <c r="B67" s="11" t="str">
        <f>[12]รายการสรุป!$E$13</f>
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</c>
      <c r="C67" s="54" t="str">
        <f>[12]รายการสรุป!$I$13</f>
        <v>0700349052410465</v>
      </c>
      <c r="D67" s="55" t="s">
        <v>29</v>
      </c>
      <c r="E67" s="52">
        <f t="shared" si="181"/>
        <v>46000</v>
      </c>
      <c r="F67" s="52">
        <v>0</v>
      </c>
      <c r="G67" s="53">
        <f>[12]รายการสรุป!$J$13</f>
        <v>46000</v>
      </c>
      <c r="H67" s="52">
        <f t="shared" si="182"/>
        <v>41924.199999999997</v>
      </c>
      <c r="I67" s="52">
        <f t="shared" si="183"/>
        <v>91.139565217391294</v>
      </c>
      <c r="J67" s="52">
        <v>0</v>
      </c>
      <c r="K67" s="52">
        <f>28324.2+13600</f>
        <v>41924.199999999997</v>
      </c>
      <c r="L67" s="52">
        <f t="shared" si="184"/>
        <v>0</v>
      </c>
      <c r="M67" s="52">
        <f t="shared" si="185"/>
        <v>0</v>
      </c>
      <c r="N67" s="52">
        <v>0</v>
      </c>
      <c r="O67" s="52">
        <v>0</v>
      </c>
      <c r="P67" s="52">
        <f t="shared" si="186"/>
        <v>4075.8000000000029</v>
      </c>
      <c r="Q67" s="52">
        <f t="shared" si="187"/>
        <v>8.8604347826087011</v>
      </c>
      <c r="R67" s="52">
        <f t="shared" si="188"/>
        <v>0</v>
      </c>
      <c r="S67" s="52">
        <f t="shared" si="189"/>
        <v>4075.8000000000029</v>
      </c>
    </row>
    <row r="68" spans="1:19" ht="30.75" customHeight="1" x14ac:dyDescent="0.5">
      <c r="A68" s="9">
        <v>54</v>
      </c>
      <c r="B68" s="11" t="str">
        <f>[12]รายการสรุป!$E$14</f>
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</c>
      <c r="C68" s="54" t="str">
        <f>[12]รายการสรุป!$I$14</f>
        <v>0700349052410466</v>
      </c>
      <c r="D68" s="55" t="s">
        <v>29</v>
      </c>
      <c r="E68" s="52">
        <f t="shared" si="181"/>
        <v>35100</v>
      </c>
      <c r="F68" s="52">
        <v>0</v>
      </c>
      <c r="G68" s="53">
        <f>[12]รายการสรุป!$J$14</f>
        <v>35100</v>
      </c>
      <c r="H68" s="52">
        <f t="shared" si="182"/>
        <v>32978</v>
      </c>
      <c r="I68" s="52">
        <f t="shared" si="183"/>
        <v>93.95441595441595</v>
      </c>
      <c r="J68" s="52">
        <v>0</v>
      </c>
      <c r="K68" s="52">
        <f>23676+9302</f>
        <v>32978</v>
      </c>
      <c r="L68" s="52">
        <f t="shared" si="184"/>
        <v>0</v>
      </c>
      <c r="M68" s="52">
        <f t="shared" si="185"/>
        <v>0</v>
      </c>
      <c r="N68" s="52">
        <v>0</v>
      </c>
      <c r="O68" s="52">
        <v>0</v>
      </c>
      <c r="P68" s="52">
        <f t="shared" si="186"/>
        <v>2122</v>
      </c>
      <c r="Q68" s="52">
        <f t="shared" si="187"/>
        <v>6.0455840455840457</v>
      </c>
      <c r="R68" s="52">
        <f t="shared" si="188"/>
        <v>0</v>
      </c>
      <c r="S68" s="52">
        <f t="shared" si="189"/>
        <v>2122</v>
      </c>
    </row>
    <row r="69" spans="1:19" ht="30.75" customHeight="1" x14ac:dyDescent="0.5">
      <c r="A69" s="9">
        <v>55</v>
      </c>
      <c r="B69" s="11" t="str">
        <f>[12]รายการสรุป!$E$15</f>
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</c>
      <c r="C69" s="54" t="str">
        <f>[12]รายการสรุป!$I$15</f>
        <v>0700349052410467</v>
      </c>
      <c r="D69" s="55" t="s">
        <v>29</v>
      </c>
      <c r="E69" s="52">
        <f t="shared" si="181"/>
        <v>35000</v>
      </c>
      <c r="F69" s="52">
        <v>0</v>
      </c>
      <c r="G69" s="53">
        <f>[12]รายการสรุป!$J$15</f>
        <v>35000</v>
      </c>
      <c r="H69" s="52">
        <f t="shared" si="182"/>
        <v>34817.47</v>
      </c>
      <c r="I69" s="52">
        <f t="shared" si="183"/>
        <v>99.478485714285711</v>
      </c>
      <c r="J69" s="52">
        <v>0</v>
      </c>
      <c r="K69" s="52">
        <f>17457.4+6220+8352+2788.07</f>
        <v>34817.47</v>
      </c>
      <c r="L69" s="52">
        <f t="shared" si="184"/>
        <v>0</v>
      </c>
      <c r="M69" s="52">
        <f t="shared" si="185"/>
        <v>0</v>
      </c>
      <c r="N69" s="52">
        <v>0</v>
      </c>
      <c r="O69" s="52">
        <v>0</v>
      </c>
      <c r="P69" s="52">
        <f t="shared" si="186"/>
        <v>182.52999999999884</v>
      </c>
      <c r="Q69" s="52">
        <f t="shared" si="187"/>
        <v>0.52151428571428238</v>
      </c>
      <c r="R69" s="52">
        <f t="shared" si="188"/>
        <v>0</v>
      </c>
      <c r="S69" s="52">
        <f t="shared" si="189"/>
        <v>182.52999999999884</v>
      </c>
    </row>
    <row r="70" spans="1:19" ht="30.75" customHeight="1" x14ac:dyDescent="0.5">
      <c r="A70" s="9">
        <v>56</v>
      </c>
      <c r="B70" s="11" t="str">
        <f>[12]รายการสรุป!$E$16</f>
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</c>
      <c r="C70" s="54" t="str">
        <f>[12]รายการสรุป!$I$16</f>
        <v>0700349052410469</v>
      </c>
      <c r="D70" s="55" t="s">
        <v>29</v>
      </c>
      <c r="E70" s="52">
        <f t="shared" si="181"/>
        <v>44498.8</v>
      </c>
      <c r="F70" s="52">
        <v>0</v>
      </c>
      <c r="G70" s="53">
        <f>[13]รายการสรุป!$J$16</f>
        <v>44498.8</v>
      </c>
      <c r="H70" s="52">
        <f t="shared" si="182"/>
        <v>44498.8</v>
      </c>
      <c r="I70" s="52">
        <f t="shared" si="183"/>
        <v>100</v>
      </c>
      <c r="J70" s="52">
        <v>0</v>
      </c>
      <c r="K70" s="52">
        <f>26898.8+1040+3360+13200</f>
        <v>44498.8</v>
      </c>
      <c r="L70" s="52">
        <f t="shared" si="184"/>
        <v>0</v>
      </c>
      <c r="M70" s="52">
        <f t="shared" si="185"/>
        <v>0</v>
      </c>
      <c r="N70" s="52">
        <v>0</v>
      </c>
      <c r="O70" s="52">
        <v>0</v>
      </c>
      <c r="P70" s="52">
        <f t="shared" si="186"/>
        <v>0</v>
      </c>
      <c r="Q70" s="52">
        <f t="shared" si="187"/>
        <v>0</v>
      </c>
      <c r="R70" s="52">
        <f t="shared" si="188"/>
        <v>0</v>
      </c>
      <c r="S70" s="52">
        <f t="shared" si="189"/>
        <v>0</v>
      </c>
    </row>
    <row r="71" spans="1:19" ht="30.75" customHeight="1" x14ac:dyDescent="0.5">
      <c r="A71" s="9">
        <v>57</v>
      </c>
      <c r="B71" s="11" t="str">
        <f>[12]รายการสรุป!$E$17</f>
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</c>
      <c r="C71" s="54" t="str">
        <f>[12]รายการสรุป!$I$17</f>
        <v>0700349052410470</v>
      </c>
      <c r="D71" s="55" t="s">
        <v>29</v>
      </c>
      <c r="E71" s="52">
        <f t="shared" si="181"/>
        <v>28200</v>
      </c>
      <c r="F71" s="52">
        <v>0</v>
      </c>
      <c r="G71" s="53">
        <f>[12]รายการสรุป!$J$17</f>
        <v>28200</v>
      </c>
      <c r="H71" s="52">
        <f t="shared" si="182"/>
        <v>28093.4</v>
      </c>
      <c r="I71" s="52">
        <f t="shared" si="183"/>
        <v>99.621985815602841</v>
      </c>
      <c r="J71" s="52">
        <v>0</v>
      </c>
      <c r="K71" s="52">
        <f>17457.4+8000+2636</f>
        <v>28093.4</v>
      </c>
      <c r="L71" s="52">
        <f t="shared" si="184"/>
        <v>0</v>
      </c>
      <c r="M71" s="52">
        <f t="shared" si="185"/>
        <v>0</v>
      </c>
      <c r="N71" s="52">
        <v>0</v>
      </c>
      <c r="O71" s="52">
        <v>0</v>
      </c>
      <c r="P71" s="52">
        <f t="shared" si="186"/>
        <v>106.59999999999854</v>
      </c>
      <c r="Q71" s="52">
        <f t="shared" si="187"/>
        <v>0.37801418439715795</v>
      </c>
      <c r="R71" s="52">
        <f t="shared" si="188"/>
        <v>0</v>
      </c>
      <c r="S71" s="52">
        <f t="shared" si="189"/>
        <v>106.59999999999854</v>
      </c>
    </row>
    <row r="72" spans="1:19" ht="30.75" customHeight="1" x14ac:dyDescent="0.5">
      <c r="A72" s="9">
        <v>58</v>
      </c>
      <c r="B72" s="11" t="str">
        <f>[12]รายการสรุป!$E$18</f>
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</c>
      <c r="C72" s="54" t="str">
        <f>[12]รายการสรุป!$I$18</f>
        <v>0700349052410471</v>
      </c>
      <c r="D72" s="55" t="s">
        <v>29</v>
      </c>
      <c r="E72" s="52">
        <f t="shared" si="181"/>
        <v>14000</v>
      </c>
      <c r="F72" s="52">
        <v>0</v>
      </c>
      <c r="G72" s="53">
        <f>[12]รายการสรุป!$J$18</f>
        <v>14000</v>
      </c>
      <c r="H72" s="52">
        <f t="shared" si="182"/>
        <v>8728.7000000000007</v>
      </c>
      <c r="I72" s="52">
        <f t="shared" si="183"/>
        <v>62.347857142857151</v>
      </c>
      <c r="J72" s="52">
        <v>0</v>
      </c>
      <c r="K72" s="52">
        <f>8728.7</f>
        <v>8728.7000000000007</v>
      </c>
      <c r="L72" s="52">
        <f t="shared" si="184"/>
        <v>0</v>
      </c>
      <c r="M72" s="52">
        <f t="shared" si="185"/>
        <v>0</v>
      </c>
      <c r="N72" s="52">
        <v>0</v>
      </c>
      <c r="O72" s="52">
        <v>0</v>
      </c>
      <c r="P72" s="52">
        <f t="shared" si="186"/>
        <v>5271.2999999999993</v>
      </c>
      <c r="Q72" s="52">
        <f t="shared" si="187"/>
        <v>37.652142857142849</v>
      </c>
      <c r="R72" s="52">
        <f t="shared" si="188"/>
        <v>0</v>
      </c>
      <c r="S72" s="52">
        <f t="shared" si="189"/>
        <v>5271.2999999999993</v>
      </c>
    </row>
    <row r="73" spans="1:19" ht="30.75" customHeight="1" x14ac:dyDescent="0.5">
      <c r="A73" s="9">
        <v>59</v>
      </c>
      <c r="B73" s="11" t="str">
        <f>[12]รายการสรุป!$E$19</f>
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</c>
      <c r="C73" s="54" t="str">
        <f>[12]รายการสรุป!$I$19</f>
        <v>0700349052410472</v>
      </c>
      <c r="D73" s="55" t="s">
        <v>29</v>
      </c>
      <c r="E73" s="52">
        <f t="shared" si="181"/>
        <v>45000</v>
      </c>
      <c r="F73" s="52">
        <v>0</v>
      </c>
      <c r="G73" s="53">
        <f>[12]รายการสรุป!$J$19</f>
        <v>45000</v>
      </c>
      <c r="H73" s="52">
        <f t="shared" si="182"/>
        <v>38386.1</v>
      </c>
      <c r="I73" s="52">
        <f t="shared" si="183"/>
        <v>85.302444444444447</v>
      </c>
      <c r="J73" s="52">
        <v>0</v>
      </c>
      <c r="K73" s="52">
        <f>26186.1+12200</f>
        <v>38386.1</v>
      </c>
      <c r="L73" s="52">
        <f t="shared" si="184"/>
        <v>0</v>
      </c>
      <c r="M73" s="52">
        <f t="shared" si="185"/>
        <v>0</v>
      </c>
      <c r="N73" s="52">
        <v>0</v>
      </c>
      <c r="O73" s="52">
        <v>0</v>
      </c>
      <c r="P73" s="52">
        <f t="shared" si="186"/>
        <v>6613.9000000000015</v>
      </c>
      <c r="Q73" s="52">
        <f t="shared" si="187"/>
        <v>14.697555555555558</v>
      </c>
      <c r="R73" s="52">
        <f t="shared" si="188"/>
        <v>0</v>
      </c>
      <c r="S73" s="52">
        <f t="shared" si="189"/>
        <v>6613.9000000000015</v>
      </c>
    </row>
    <row r="74" spans="1:19" ht="30.75" customHeight="1" x14ac:dyDescent="0.5">
      <c r="A74" s="9">
        <v>60</v>
      </c>
      <c r="B74" s="11" t="str">
        <f>[12]รายการสรุป!$E$20</f>
        <v>ซ่อมแซมคลองส่งน้ำรางรินฝายปางถ้ำ2 โครงการชลประทานพะเยา ต.ร่มเย็น อ.เชียงคำ จ.พะเยา</v>
      </c>
      <c r="C74" s="54" t="str">
        <f>[12]รายการสรุป!$I$20</f>
        <v>0700349052410473</v>
      </c>
      <c r="D74" s="55" t="s">
        <v>29</v>
      </c>
      <c r="E74" s="52">
        <f t="shared" si="181"/>
        <v>17912</v>
      </c>
      <c r="F74" s="52">
        <v>0</v>
      </c>
      <c r="G74" s="53">
        <f>[13]รายการสรุป!$J$20</f>
        <v>17912</v>
      </c>
      <c r="H74" s="52">
        <f t="shared" si="182"/>
        <v>17912</v>
      </c>
      <c r="I74" s="52">
        <f t="shared" si="183"/>
        <v>100</v>
      </c>
      <c r="J74" s="52">
        <v>0</v>
      </c>
      <c r="K74" s="52">
        <f>17912</f>
        <v>17912</v>
      </c>
      <c r="L74" s="52">
        <f t="shared" si="184"/>
        <v>0</v>
      </c>
      <c r="M74" s="52">
        <f t="shared" si="185"/>
        <v>0</v>
      </c>
      <c r="N74" s="52">
        <v>0</v>
      </c>
      <c r="O74" s="52">
        <v>0</v>
      </c>
      <c r="P74" s="52">
        <f t="shared" si="186"/>
        <v>0</v>
      </c>
      <c r="Q74" s="52">
        <f t="shared" si="187"/>
        <v>0</v>
      </c>
      <c r="R74" s="52">
        <f t="shared" si="188"/>
        <v>0</v>
      </c>
      <c r="S74" s="52">
        <f t="shared" si="189"/>
        <v>0</v>
      </c>
    </row>
    <row r="75" spans="1:19" ht="45" customHeight="1" x14ac:dyDescent="0.5">
      <c r="A75" s="9">
        <v>61</v>
      </c>
      <c r="B75" s="11" t="str">
        <f>[12]รายการสรุป!$E$21</f>
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</c>
      <c r="C75" s="54" t="str">
        <f>[12]รายการสรุป!$I$21</f>
        <v>0700349052410474</v>
      </c>
      <c r="D75" s="55" t="s">
        <v>29</v>
      </c>
      <c r="E75" s="52">
        <f t="shared" si="181"/>
        <v>22901.01</v>
      </c>
      <c r="F75" s="52">
        <v>0</v>
      </c>
      <c r="G75" s="53">
        <f>[13]รายการสรุป!$J$21</f>
        <v>22901.01</v>
      </c>
      <c r="H75" s="52">
        <f t="shared" si="182"/>
        <v>22901.010000000002</v>
      </c>
      <c r="I75" s="52">
        <f t="shared" si="183"/>
        <v>100</v>
      </c>
      <c r="J75" s="52">
        <v>0</v>
      </c>
      <c r="K75" s="52">
        <f>15480+7421.01</f>
        <v>22901.010000000002</v>
      </c>
      <c r="L75" s="52">
        <f t="shared" si="184"/>
        <v>0</v>
      </c>
      <c r="M75" s="52">
        <f t="shared" si="185"/>
        <v>0</v>
      </c>
      <c r="N75" s="52">
        <v>0</v>
      </c>
      <c r="O75" s="52">
        <v>0</v>
      </c>
      <c r="P75" s="52">
        <f t="shared" si="186"/>
        <v>-3.637978807091713E-12</v>
      </c>
      <c r="Q75" s="52">
        <f t="shared" si="187"/>
        <v>-1.5885669702304454E-14</v>
      </c>
      <c r="R75" s="52">
        <f t="shared" si="188"/>
        <v>0</v>
      </c>
      <c r="S75" s="52">
        <f t="shared" si="189"/>
        <v>-3.637978807091713E-12</v>
      </c>
    </row>
    <row r="76" spans="1:19" ht="30.75" customHeight="1" x14ac:dyDescent="0.5">
      <c r="A76" s="9">
        <v>62</v>
      </c>
      <c r="B76" s="11" t="str">
        <f>[12]รายการสรุป!$E$22</f>
        <v>ซ่อมแซมท่อส่งน้ำสาย LMCฝายน้ำสาวลูกที่ 2 โครงการชลประทานพะเยา ต.ขุนควร อ.ปง จ.พะเยา</v>
      </c>
      <c r="C76" s="54" t="str">
        <f>[12]รายการสรุป!$I$22</f>
        <v>0700349052410475</v>
      </c>
      <c r="D76" s="55" t="s">
        <v>29</v>
      </c>
      <c r="E76" s="52">
        <f t="shared" si="181"/>
        <v>39800</v>
      </c>
      <c r="F76" s="52">
        <v>0</v>
      </c>
      <c r="G76" s="53">
        <f>[12]รายการสรุป!$J$22</f>
        <v>39800</v>
      </c>
      <c r="H76" s="52">
        <f t="shared" si="182"/>
        <v>39519.1</v>
      </c>
      <c r="I76" s="52">
        <f t="shared" si="183"/>
        <v>99.29422110552764</v>
      </c>
      <c r="J76" s="52">
        <v>0</v>
      </c>
      <c r="K76" s="52">
        <f>26186.1+6653+6680</f>
        <v>39519.1</v>
      </c>
      <c r="L76" s="52">
        <f t="shared" si="184"/>
        <v>0</v>
      </c>
      <c r="M76" s="52">
        <f t="shared" si="185"/>
        <v>0</v>
      </c>
      <c r="N76" s="52">
        <v>0</v>
      </c>
      <c r="O76" s="52">
        <v>0</v>
      </c>
      <c r="P76" s="52">
        <f t="shared" si="186"/>
        <v>280.90000000000146</v>
      </c>
      <c r="Q76" s="52">
        <f t="shared" si="187"/>
        <v>0.70577889447236541</v>
      </c>
      <c r="R76" s="52">
        <f t="shared" si="188"/>
        <v>0</v>
      </c>
      <c r="S76" s="52">
        <f t="shared" si="189"/>
        <v>280.90000000000146</v>
      </c>
    </row>
    <row r="77" spans="1:19" ht="30.75" customHeight="1" x14ac:dyDescent="0.5">
      <c r="A77" s="9">
        <v>63</v>
      </c>
      <c r="B77" s="11" t="str">
        <f>[12]รายการสรุป!$E$23</f>
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</c>
      <c r="C77" s="54" t="str">
        <f>[12]รายการสรุป!$I$23</f>
        <v>0700349052410476</v>
      </c>
      <c r="D77" s="55" t="s">
        <v>29</v>
      </c>
      <c r="E77" s="52">
        <f t="shared" si="181"/>
        <v>23400</v>
      </c>
      <c r="F77" s="52">
        <v>0</v>
      </c>
      <c r="G77" s="53">
        <f>[12]รายการสรุป!$J$23</f>
        <v>23400</v>
      </c>
      <c r="H77" s="52">
        <f t="shared" si="182"/>
        <v>21800</v>
      </c>
      <c r="I77" s="52">
        <f t="shared" si="183"/>
        <v>93.162393162393158</v>
      </c>
      <c r="J77" s="52">
        <v>0</v>
      </c>
      <c r="K77" s="52">
        <f>10800+5000+6000</f>
        <v>21800</v>
      </c>
      <c r="L77" s="52">
        <f t="shared" si="184"/>
        <v>0</v>
      </c>
      <c r="M77" s="52">
        <f t="shared" si="185"/>
        <v>0</v>
      </c>
      <c r="N77" s="52">
        <v>0</v>
      </c>
      <c r="O77" s="52">
        <v>0</v>
      </c>
      <c r="P77" s="52">
        <f t="shared" si="186"/>
        <v>1600</v>
      </c>
      <c r="Q77" s="52">
        <f t="shared" si="187"/>
        <v>6.8376068376068373</v>
      </c>
      <c r="R77" s="52">
        <f t="shared" si="188"/>
        <v>0</v>
      </c>
      <c r="S77" s="52">
        <f t="shared" si="189"/>
        <v>1600</v>
      </c>
    </row>
    <row r="78" spans="1:19" ht="30.75" customHeight="1" x14ac:dyDescent="0.5">
      <c r="A78" s="9">
        <v>64</v>
      </c>
      <c r="B78" s="11" t="str">
        <f>[13]รายการสรุป!$E$24</f>
        <v>ซ่อมแซมเพิ่มประสิทธิภาพ ปตร.นาเจริญโครงการชลประทานพะเยา ต.อ่างทอง อ.เชียงคำ จ.พะเยา</v>
      </c>
      <c r="C78" s="54" t="str">
        <f>[13]รายการสรุป!$I$24</f>
        <v>0700349052410468</v>
      </c>
      <c r="D78" s="55" t="s">
        <v>60</v>
      </c>
      <c r="E78" s="52">
        <f t="shared" ref="E78" si="190">F78+G78</f>
        <v>22200</v>
      </c>
      <c r="F78" s="52">
        <v>0</v>
      </c>
      <c r="G78" s="53">
        <f>[13]รายการสรุป!$J$24</f>
        <v>22200</v>
      </c>
      <c r="H78" s="52">
        <f t="shared" ref="H78" si="191">J78+K78</f>
        <v>18536.5</v>
      </c>
      <c r="I78" s="52">
        <f t="shared" ref="I78" si="192">H78*100/E78</f>
        <v>83.497747747747752</v>
      </c>
      <c r="J78" s="52">
        <v>0</v>
      </c>
      <c r="K78" s="52">
        <f>8817.5+8999+720</f>
        <v>18536.5</v>
      </c>
      <c r="L78" s="52">
        <f t="shared" ref="L78" si="193">N78+O78</f>
        <v>0</v>
      </c>
      <c r="M78" s="52">
        <f t="shared" ref="M78" si="194">L78*100/E78</f>
        <v>0</v>
      </c>
      <c r="N78" s="52">
        <v>0</v>
      </c>
      <c r="O78" s="52">
        <v>0</v>
      </c>
      <c r="P78" s="52">
        <f t="shared" ref="P78" si="195">R78+S78</f>
        <v>3663.5</v>
      </c>
      <c r="Q78" s="52">
        <f t="shared" ref="Q78" si="196">P78*100/E78</f>
        <v>16.502252252252251</v>
      </c>
      <c r="R78" s="52">
        <f t="shared" ref="R78" si="197">F78-J78-N78</f>
        <v>0</v>
      </c>
      <c r="S78" s="52">
        <f t="shared" ref="S78" si="198">G78-K78-O78</f>
        <v>3663.5</v>
      </c>
    </row>
    <row r="79" spans="1:19" ht="33.75" customHeight="1" x14ac:dyDescent="0.5">
      <c r="A79" s="9"/>
      <c r="B79" s="18" t="s">
        <v>25</v>
      </c>
      <c r="C79" s="18"/>
      <c r="D79" s="24"/>
      <c r="E79" s="19">
        <f>F79+G79</f>
        <v>600289.5</v>
      </c>
      <c r="F79" s="19">
        <f>SUM(F80:F85)</f>
        <v>0</v>
      </c>
      <c r="G79" s="19">
        <f>SUM(G80:G88)</f>
        <v>600289.5</v>
      </c>
      <c r="H79" s="19">
        <f>J79+K79</f>
        <v>464099.96</v>
      </c>
      <c r="I79" s="19">
        <f>H79*100/E79</f>
        <v>77.31268996042742</v>
      </c>
      <c r="J79" s="19">
        <f>SUM(J80:J85)</f>
        <v>0</v>
      </c>
      <c r="K79" s="19">
        <f>SUM(K80:K88)</f>
        <v>464099.96</v>
      </c>
      <c r="L79" s="19">
        <f>N79+O79</f>
        <v>0</v>
      </c>
      <c r="M79" s="19">
        <f>L79*100/E79</f>
        <v>0</v>
      </c>
      <c r="N79" s="19">
        <f>SUM(N80:N85)</f>
        <v>0</v>
      </c>
      <c r="O79" s="19">
        <f>SUM(O80:O88)</f>
        <v>0</v>
      </c>
      <c r="P79" s="19">
        <f t="shared" si="186"/>
        <v>136189.53999999998</v>
      </c>
      <c r="Q79" s="19">
        <f>P79*100/E79</f>
        <v>22.687310039572569</v>
      </c>
      <c r="R79" s="19">
        <f t="shared" si="188"/>
        <v>0</v>
      </c>
      <c r="S79" s="19">
        <f t="shared" si="189"/>
        <v>136189.53999999998</v>
      </c>
    </row>
    <row r="80" spans="1:19" ht="33.75" customHeight="1" x14ac:dyDescent="0.5">
      <c r="A80" s="9">
        <v>65</v>
      </c>
      <c r="B80" s="11" t="str">
        <f>[14]รายการสรุป!$E$5</f>
        <v>ซ่อมแซมระบบส่งน้ำคลอง RMCอ่างเก็บน้ำน้ำแหง(กลางพรด.)โครงการชลประทานน่าน อ.นาน้อย จ.น่าน</v>
      </c>
      <c r="C80" s="54" t="str">
        <f>[14]รายการสรุป!$I$5</f>
        <v>0700349052410448</v>
      </c>
      <c r="D80" s="55" t="s">
        <v>29</v>
      </c>
      <c r="E80" s="52">
        <f t="shared" ref="E80" si="199">F80+G80</f>
        <v>62000</v>
      </c>
      <c r="F80" s="52">
        <v>0</v>
      </c>
      <c r="G80" s="53">
        <f>[14]รายการสรุป!$J$5</f>
        <v>62000</v>
      </c>
      <c r="H80" s="52">
        <f t="shared" ref="H80" si="200">J80+K80</f>
        <v>45853.01</v>
      </c>
      <c r="I80" s="52">
        <f t="shared" ref="I80" si="201">H80*100/E80</f>
        <v>73.956467741935484</v>
      </c>
      <c r="J80" s="52">
        <v>0</v>
      </c>
      <c r="K80" s="52">
        <f>13204+15610+2010+15029.01</f>
        <v>45853.01</v>
      </c>
      <c r="L80" s="52">
        <f t="shared" ref="L80" si="202">N80+O80</f>
        <v>0</v>
      </c>
      <c r="M80" s="52">
        <f t="shared" ref="M80" si="203">L80*100/E80</f>
        <v>0</v>
      </c>
      <c r="N80" s="52">
        <v>0</v>
      </c>
      <c r="O80" s="52">
        <v>0</v>
      </c>
      <c r="P80" s="52">
        <f t="shared" ref="P80" si="204">R80+S80</f>
        <v>16146.989999999998</v>
      </c>
      <c r="Q80" s="52">
        <f t="shared" ref="Q80" si="205">P80*100/E80</f>
        <v>26.043532258064513</v>
      </c>
      <c r="R80" s="52">
        <f t="shared" ref="R80" si="206">F80-J80-N80</f>
        <v>0</v>
      </c>
      <c r="S80" s="52">
        <f t="shared" ref="S80" si="207">G80-K80-O80</f>
        <v>16146.989999999998</v>
      </c>
    </row>
    <row r="81" spans="1:20" ht="33.75" customHeight="1" x14ac:dyDescent="0.5">
      <c r="A81" s="9">
        <v>66</v>
      </c>
      <c r="B81" s="11" t="str">
        <f>[14]รายการสรุป!$E$6</f>
        <v>ซ่อมแซมคลองส่งน้ำ1R-RMCอ่างเก็บน้ำน้ำงอบโครงการชลประทานน่าน ต.งอบ อ.ทุ่งช้าง จ.น่าน</v>
      </c>
      <c r="C81" s="54" t="str">
        <f>[14]รายการสรุป!$I$6</f>
        <v>0700349052410450</v>
      </c>
      <c r="D81" s="55" t="s">
        <v>29</v>
      </c>
      <c r="E81" s="52">
        <f t="shared" ref="E81:E84" si="208">F81+G81</f>
        <v>37000</v>
      </c>
      <c r="F81" s="52">
        <v>0</v>
      </c>
      <c r="G81" s="53">
        <f>[14]รายการสรุป!$J$6</f>
        <v>37000</v>
      </c>
      <c r="H81" s="52">
        <f t="shared" ref="H81:H84" si="209">J81+K81</f>
        <v>36906</v>
      </c>
      <c r="I81" s="52">
        <f t="shared" ref="I81:I84" si="210">H81*100/E81</f>
        <v>99.745945945945948</v>
      </c>
      <c r="J81" s="52">
        <v>0</v>
      </c>
      <c r="K81" s="52">
        <f>10740+16646+2560+6960</f>
        <v>36906</v>
      </c>
      <c r="L81" s="52">
        <f t="shared" ref="L81:L84" si="211">N81+O81</f>
        <v>0</v>
      </c>
      <c r="M81" s="52">
        <f t="shared" ref="M81:M84" si="212">L81*100/E81</f>
        <v>0</v>
      </c>
      <c r="N81" s="52">
        <v>0</v>
      </c>
      <c r="O81" s="52">
        <v>0</v>
      </c>
      <c r="P81" s="52">
        <f t="shared" ref="P81:P91" si="213">R81+S81</f>
        <v>94</v>
      </c>
      <c r="Q81" s="52">
        <f t="shared" ref="Q81:Q84" si="214">P81*100/E81</f>
        <v>0.25405405405405407</v>
      </c>
      <c r="R81" s="52">
        <f t="shared" ref="R81:R91" si="215">F81-J81-N81</f>
        <v>0</v>
      </c>
      <c r="S81" s="52">
        <f t="shared" ref="S81:S91" si="216">G81-K81-O81</f>
        <v>94</v>
      </c>
    </row>
    <row r="82" spans="1:20" ht="33.75" customHeight="1" x14ac:dyDescent="0.5">
      <c r="A82" s="9">
        <v>67</v>
      </c>
      <c r="B82" s="11" t="str">
        <f>[14]รายการสรุป!$E$7</f>
        <v>ซ่อมแซมระบบส่งน้ำคลอง LMCกม.5+890.7+700อ่างเก็บน้ำน้ำแหง(กลาง)โครงการชลประทานน่าน อ.นาน้อย จ.น่าน</v>
      </c>
      <c r="C82" s="54" t="str">
        <f>[14]รายการสรุป!$I$7</f>
        <v>0700349052410451</v>
      </c>
      <c r="D82" s="55" t="s">
        <v>29</v>
      </c>
      <c r="E82" s="52">
        <f t="shared" si="208"/>
        <v>0</v>
      </c>
      <c r="F82" s="52">
        <v>0</v>
      </c>
      <c r="G82" s="53">
        <f>[15]รายการสรุป!$J$7</f>
        <v>0</v>
      </c>
      <c r="H82" s="52">
        <f t="shared" si="209"/>
        <v>0</v>
      </c>
      <c r="I82" s="52" t="e">
        <f t="shared" si="210"/>
        <v>#DIV/0!</v>
      </c>
      <c r="J82" s="52">
        <v>0</v>
      </c>
      <c r="K82" s="52"/>
      <c r="L82" s="52">
        <f t="shared" si="211"/>
        <v>0</v>
      </c>
      <c r="M82" s="52" t="e">
        <f t="shared" si="212"/>
        <v>#DIV/0!</v>
      </c>
      <c r="N82" s="52">
        <v>0</v>
      </c>
      <c r="O82" s="52">
        <v>0</v>
      </c>
      <c r="P82" s="52">
        <f t="shared" si="213"/>
        <v>0</v>
      </c>
      <c r="Q82" s="52" t="e">
        <f t="shared" si="214"/>
        <v>#DIV/0!</v>
      </c>
      <c r="R82" s="52">
        <f t="shared" si="215"/>
        <v>0</v>
      </c>
      <c r="S82" s="52">
        <f t="shared" si="216"/>
        <v>0</v>
      </c>
      <c r="T82" s="65" t="s">
        <v>58</v>
      </c>
    </row>
    <row r="83" spans="1:20" ht="33.75" customHeight="1" x14ac:dyDescent="0.5">
      <c r="A83" s="9">
        <v>68</v>
      </c>
      <c r="B83" s="11" t="str">
        <f>[14]รายการสรุป!$E$8</f>
        <v>ซ่อมแซมคลองส่งน้ำ LMCอ่างเก็บน้ำน้ำและกม.1+900ถึงกม2+000 โครงการชลประทานน่าน ต.และ อ.ทุ่งช้าง จ.น่าน</v>
      </c>
      <c r="C83" s="54" t="str">
        <f>[14]รายการสรุป!$I$8</f>
        <v>0700349052410452</v>
      </c>
      <c r="D83" s="55" t="s">
        <v>29</v>
      </c>
      <c r="E83" s="52">
        <f t="shared" si="208"/>
        <v>37989.5</v>
      </c>
      <c r="F83" s="52">
        <v>0</v>
      </c>
      <c r="G83" s="53">
        <f>[15]รายการสรุป!$J$8</f>
        <v>37989.5</v>
      </c>
      <c r="H83" s="52">
        <f t="shared" si="209"/>
        <v>37989.5</v>
      </c>
      <c r="I83" s="52">
        <f t="shared" si="210"/>
        <v>100</v>
      </c>
      <c r="J83" s="52">
        <v>0</v>
      </c>
      <c r="K83" s="52">
        <f>26186.1+3093+8710.4</f>
        <v>37989.5</v>
      </c>
      <c r="L83" s="52">
        <f t="shared" si="211"/>
        <v>0</v>
      </c>
      <c r="M83" s="52">
        <f t="shared" si="212"/>
        <v>0</v>
      </c>
      <c r="N83" s="52">
        <v>0</v>
      </c>
      <c r="O83" s="52">
        <v>0</v>
      </c>
      <c r="P83" s="52">
        <f t="shared" si="213"/>
        <v>0</v>
      </c>
      <c r="Q83" s="52">
        <f t="shared" si="214"/>
        <v>0</v>
      </c>
      <c r="R83" s="52">
        <f t="shared" si="215"/>
        <v>0</v>
      </c>
      <c r="S83" s="52">
        <f t="shared" si="216"/>
        <v>0</v>
      </c>
    </row>
    <row r="84" spans="1:20" ht="33.75" customHeight="1" x14ac:dyDescent="0.5">
      <c r="A84" s="9">
        <v>69</v>
      </c>
      <c r="B84" s="11" t="str">
        <f>[14]รายการสรุป!$E$9</f>
        <v>ซ่อมแซมคลองส่งน้ำRMCฝายน้ำสอดโครงการชลประทานน่าน ต.และ อ.ทุ่งช้าง จ.น่าน</v>
      </c>
      <c r="C84" s="54" t="str">
        <f>[14]รายการสรุป!$I$9</f>
        <v>0700349052410453</v>
      </c>
      <c r="D84" s="55" t="s">
        <v>29</v>
      </c>
      <c r="E84" s="52">
        <f t="shared" si="208"/>
        <v>38000</v>
      </c>
      <c r="F84" s="52">
        <v>0</v>
      </c>
      <c r="G84" s="53">
        <f>[15]รายการสรุป!$J$9</f>
        <v>38000</v>
      </c>
      <c r="H84" s="52">
        <f t="shared" si="209"/>
        <v>29072.5</v>
      </c>
      <c r="I84" s="52">
        <f t="shared" si="210"/>
        <v>76.506578947368425</v>
      </c>
      <c r="J84" s="52">
        <v>0</v>
      </c>
      <c r="K84" s="52">
        <f>18812.5+7140+3120</f>
        <v>29072.5</v>
      </c>
      <c r="L84" s="52">
        <f t="shared" si="211"/>
        <v>0</v>
      </c>
      <c r="M84" s="52">
        <f t="shared" si="212"/>
        <v>0</v>
      </c>
      <c r="N84" s="52">
        <v>0</v>
      </c>
      <c r="O84" s="52">
        <v>0</v>
      </c>
      <c r="P84" s="52">
        <f t="shared" si="213"/>
        <v>8927.5</v>
      </c>
      <c r="Q84" s="52">
        <f t="shared" si="214"/>
        <v>23.493421052631579</v>
      </c>
      <c r="R84" s="52">
        <f t="shared" si="215"/>
        <v>0</v>
      </c>
      <c r="S84" s="52">
        <f t="shared" si="216"/>
        <v>8927.5</v>
      </c>
    </row>
    <row r="85" spans="1:20" ht="46.5" customHeight="1" x14ac:dyDescent="0.5">
      <c r="A85" s="9">
        <v>70</v>
      </c>
      <c r="B85" s="11" t="str">
        <f>[14]รายการสรุป!$E$10</f>
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</c>
      <c r="C85" s="54" t="str">
        <f>[14]รายการสรุป!$I$10</f>
        <v>0700349052410455</v>
      </c>
      <c r="D85" s="55" t="s">
        <v>45</v>
      </c>
      <c r="E85" s="52">
        <f t="shared" ref="E85" si="217">F85+G85</f>
        <v>44000</v>
      </c>
      <c r="F85" s="52">
        <v>0</v>
      </c>
      <c r="G85" s="53">
        <f>[14]รายการสรุป!$J$10</f>
        <v>44000</v>
      </c>
      <c r="H85" s="52">
        <f t="shared" ref="H85" si="218">J85+K85</f>
        <v>43320.1</v>
      </c>
      <c r="I85" s="52">
        <f t="shared" ref="I85" si="219">H85*100/E85</f>
        <v>98.454772727272726</v>
      </c>
      <c r="J85" s="52">
        <v>0</v>
      </c>
      <c r="K85" s="52">
        <f>26186.1+17134</f>
        <v>43320.1</v>
      </c>
      <c r="L85" s="52">
        <f t="shared" ref="L85" si="220">N85+O85</f>
        <v>0</v>
      </c>
      <c r="M85" s="52">
        <f t="shared" ref="M85" si="221">L85*100/E85</f>
        <v>0</v>
      </c>
      <c r="N85" s="52">
        <v>0</v>
      </c>
      <c r="O85" s="52">
        <v>0</v>
      </c>
      <c r="P85" s="52">
        <f t="shared" ref="P85" si="222">R85+S85</f>
        <v>679.90000000000146</v>
      </c>
      <c r="Q85" s="52">
        <f t="shared" ref="Q85" si="223">P85*100/E85</f>
        <v>1.545227272727276</v>
      </c>
      <c r="R85" s="52">
        <f t="shared" ref="R85" si="224">F85-J85-N85</f>
        <v>0</v>
      </c>
      <c r="S85" s="52">
        <f t="shared" ref="S85" si="225">G85-K85-O85</f>
        <v>679.90000000000146</v>
      </c>
    </row>
    <row r="86" spans="1:20" ht="33" customHeight="1" x14ac:dyDescent="0.5">
      <c r="A86" s="9">
        <v>71</v>
      </c>
      <c r="B86" s="11" t="str">
        <f>[15]รายการสรุป!$E$11</f>
        <v>ซ่อมแซมอาคารป้องกันตลิ่งท้ายอ่างเก็บน้ำน้ำพง ต.พงษ์ อ.สันติสุข จ.น่าน</v>
      </c>
      <c r="C86" s="54" t="str">
        <f>[15]รายการสรุป!$I$11</f>
        <v>0700349052410ZA2</v>
      </c>
      <c r="D86" s="55" t="s">
        <v>52</v>
      </c>
      <c r="E86" s="52">
        <f t="shared" ref="E86" si="226">F86+G86</f>
        <v>300000</v>
      </c>
      <c r="F86" s="52">
        <v>0</v>
      </c>
      <c r="G86" s="53">
        <f>[15]รายการสรุป!$J$11</f>
        <v>300000</v>
      </c>
      <c r="H86" s="52">
        <f t="shared" ref="H86" si="227">J86+K86</f>
        <v>196741.05</v>
      </c>
      <c r="I86" s="52">
        <f t="shared" ref="I86" si="228">H86*100/E86</f>
        <v>65.580349999999996</v>
      </c>
      <c r="J86" s="52">
        <v>0</v>
      </c>
      <c r="K86" s="52">
        <f>14880+5000+10110+52430+13940+100381.05</f>
        <v>196741.05</v>
      </c>
      <c r="L86" s="52">
        <f t="shared" ref="L86" si="229">N86+O86</f>
        <v>0</v>
      </c>
      <c r="M86" s="52">
        <f t="shared" ref="M86" si="230">L86*100/E86</f>
        <v>0</v>
      </c>
      <c r="N86" s="52">
        <v>0</v>
      </c>
      <c r="O86" s="52">
        <v>0</v>
      </c>
      <c r="P86" s="52">
        <f t="shared" ref="P86" si="231">R86+S86</f>
        <v>103258.95000000001</v>
      </c>
      <c r="Q86" s="52">
        <f t="shared" ref="Q86" si="232">P86*100/E86</f>
        <v>34.419650000000004</v>
      </c>
      <c r="R86" s="52">
        <f t="shared" ref="R86" si="233">F86-J86-N86</f>
        <v>0</v>
      </c>
      <c r="S86" s="52">
        <f t="shared" ref="S86" si="234">G86-K86-O86</f>
        <v>103258.95000000001</v>
      </c>
    </row>
    <row r="87" spans="1:20" ht="33" customHeight="1" x14ac:dyDescent="0.5">
      <c r="A87" s="9">
        <v>72</v>
      </c>
      <c r="B87" s="11" t="str">
        <f>[15]รายการสรุป!$E$12</f>
        <v>ซ่อมแซมระบบส่งน้ำฝายนาบง(พมพ.)โครงการชลประทานน่าน ต.บ่อเกลือใต้ อ.บ่อเกลือ จ.น่าน</v>
      </c>
      <c r="C87" s="54" t="str">
        <f>[15]รายการสรุป!$I$12</f>
        <v>0700349052410449</v>
      </c>
      <c r="D87" s="55" t="s">
        <v>60</v>
      </c>
      <c r="E87" s="52">
        <f t="shared" ref="E87" si="235">F87+G87</f>
        <v>40000</v>
      </c>
      <c r="F87" s="52">
        <v>0</v>
      </c>
      <c r="G87" s="53">
        <f>[15]รายการสรุป!$J$12</f>
        <v>40000</v>
      </c>
      <c r="H87" s="52">
        <f t="shared" ref="H87" si="236">J87+K87</f>
        <v>34905.369999999995</v>
      </c>
      <c r="I87" s="52">
        <f t="shared" ref="I87" si="237">H87*100/E87</f>
        <v>87.263424999999984</v>
      </c>
      <c r="J87" s="52">
        <v>0</v>
      </c>
      <c r="K87" s="52">
        <f>11861.38+6860+3742+4682+7759.99</f>
        <v>34905.369999999995</v>
      </c>
      <c r="L87" s="52">
        <f t="shared" ref="L87" si="238">N87+O87</f>
        <v>0</v>
      </c>
      <c r="M87" s="52">
        <f t="shared" ref="M87" si="239">L87*100/E87</f>
        <v>0</v>
      </c>
      <c r="N87" s="52">
        <v>0</v>
      </c>
      <c r="O87" s="52">
        <v>0</v>
      </c>
      <c r="P87" s="52">
        <f t="shared" ref="P87" si="240">R87+S87</f>
        <v>5094.6300000000047</v>
      </c>
      <c r="Q87" s="52">
        <f t="shared" ref="Q87" si="241">P87*100/E87</f>
        <v>12.736575000000011</v>
      </c>
      <c r="R87" s="52">
        <f t="shared" ref="R87" si="242">F87-J87-N87</f>
        <v>0</v>
      </c>
      <c r="S87" s="52">
        <f t="shared" ref="S87" si="243">G87-K87-O87</f>
        <v>5094.6300000000047</v>
      </c>
    </row>
    <row r="88" spans="1:20" ht="33" customHeight="1" x14ac:dyDescent="0.5">
      <c r="A88" s="9">
        <v>73</v>
      </c>
      <c r="B88" s="11" t="str">
        <f>[15]รายการสรุป!$E$13</f>
        <v>ซ่อมแซมระบบส่งน้ำฝายลูกที่ 4อ่างเก็บน้ำน้ำเกี๋ยน โครงการชลประทานน่าน ต.น้ำเกี๋ยน อ.ภูเพียง จ.น่าน</v>
      </c>
      <c r="C88" s="54" t="str">
        <f>[15]รายการสรุป!$I$13</f>
        <v>0700349052410454</v>
      </c>
      <c r="D88" s="55" t="s">
        <v>60</v>
      </c>
      <c r="E88" s="52">
        <f t="shared" ref="E88" si="244">F88+G88</f>
        <v>41300</v>
      </c>
      <c r="F88" s="52">
        <v>0</v>
      </c>
      <c r="G88" s="53">
        <f>[15]รายการสรุป!$J$13</f>
        <v>41300</v>
      </c>
      <c r="H88" s="52">
        <f t="shared" ref="H88" si="245">J88+K88</f>
        <v>39312.43</v>
      </c>
      <c r="I88" s="52">
        <f t="shared" ref="I88" si="246">H88*100/E88</f>
        <v>95.187481840193698</v>
      </c>
      <c r="J88" s="52">
        <v>0</v>
      </c>
      <c r="K88" s="52">
        <f>8780+21972+3560.43+5000</f>
        <v>39312.43</v>
      </c>
      <c r="L88" s="52">
        <f t="shared" ref="L88" si="247">N88+O88</f>
        <v>0</v>
      </c>
      <c r="M88" s="52">
        <f t="shared" ref="M88" si="248">L88*100/E88</f>
        <v>0</v>
      </c>
      <c r="N88" s="52">
        <v>0</v>
      </c>
      <c r="O88" s="52">
        <v>0</v>
      </c>
      <c r="P88" s="52">
        <f t="shared" ref="P88" si="249">R88+S88</f>
        <v>1987.5699999999997</v>
      </c>
      <c r="Q88" s="52">
        <f t="shared" ref="Q88" si="250">P88*100/E88</f>
        <v>4.8125181598062943</v>
      </c>
      <c r="R88" s="52">
        <f t="shared" ref="R88" si="251">F88-J88-N88</f>
        <v>0</v>
      </c>
      <c r="S88" s="52">
        <f t="shared" ref="S88" si="252">G88-K88-O88</f>
        <v>1987.5699999999997</v>
      </c>
    </row>
    <row r="89" spans="1:20" ht="33.75" customHeight="1" x14ac:dyDescent="0.5">
      <c r="A89" s="9"/>
      <c r="B89" s="18" t="s">
        <v>33</v>
      </c>
      <c r="C89" s="18"/>
      <c r="D89" s="24"/>
      <c r="E89" s="19">
        <f>F89+G89</f>
        <v>17500</v>
      </c>
      <c r="F89" s="19">
        <f>SUM(F90)</f>
        <v>0</v>
      </c>
      <c r="G89" s="19">
        <f>SUM(G90)</f>
        <v>17500</v>
      </c>
      <c r="H89" s="19">
        <f>J89+K89</f>
        <v>0</v>
      </c>
      <c r="I89" s="19">
        <f>H89*100/E89</f>
        <v>0</v>
      </c>
      <c r="J89" s="19">
        <f>SUM(J90)</f>
        <v>0</v>
      </c>
      <c r="K89" s="19">
        <f>SUM(K90)</f>
        <v>0</v>
      </c>
      <c r="L89" s="19">
        <f>N89+O89</f>
        <v>0</v>
      </c>
      <c r="M89" s="19">
        <f>L89*100/E89</f>
        <v>0</v>
      </c>
      <c r="N89" s="19">
        <f>SUM(N90)</f>
        <v>0</v>
      </c>
      <c r="O89" s="19">
        <f>SUM(O90)</f>
        <v>0</v>
      </c>
      <c r="P89" s="19">
        <f t="shared" si="213"/>
        <v>17500</v>
      </c>
      <c r="Q89" s="19">
        <f>P89*100/E89</f>
        <v>100</v>
      </c>
      <c r="R89" s="19">
        <f t="shared" si="215"/>
        <v>0</v>
      </c>
      <c r="S89" s="19">
        <f t="shared" si="216"/>
        <v>17500</v>
      </c>
    </row>
    <row r="90" spans="1:20" ht="48" customHeight="1" x14ac:dyDescent="0.5">
      <c r="A90" s="9">
        <v>74</v>
      </c>
      <c r="B90" s="11" t="str">
        <f>[16]รายการสรุป!$E$5</f>
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</c>
      <c r="C90" s="54" t="str">
        <f>[16]รายการสรุป!$I$5</f>
        <v>0700349052410364</v>
      </c>
      <c r="D90" s="55" t="s">
        <v>29</v>
      </c>
      <c r="E90" s="52">
        <f t="shared" ref="E90" si="253">F90+G90</f>
        <v>17500</v>
      </c>
      <c r="F90" s="52">
        <v>0</v>
      </c>
      <c r="G90" s="53">
        <f>[16]รายการสรุป!$J$5</f>
        <v>17500</v>
      </c>
      <c r="H90" s="52">
        <f t="shared" ref="H90" si="254">J90+K90</f>
        <v>0</v>
      </c>
      <c r="I90" s="52">
        <f t="shared" ref="I90" si="255">H90*100/E90</f>
        <v>0</v>
      </c>
      <c r="J90" s="52">
        <v>0</v>
      </c>
      <c r="K90" s="52"/>
      <c r="L90" s="52">
        <f t="shared" ref="L90" si="256">N90+O90</f>
        <v>0</v>
      </c>
      <c r="M90" s="52">
        <f t="shared" ref="M90" si="257">L90*100/E90</f>
        <v>0</v>
      </c>
      <c r="N90" s="52">
        <v>0</v>
      </c>
      <c r="O90" s="52">
        <v>0</v>
      </c>
      <c r="P90" s="52">
        <f t="shared" ref="P90" si="258">R90+S90</f>
        <v>17500</v>
      </c>
      <c r="Q90" s="52">
        <f t="shared" ref="Q90" si="259">P90*100/E90</f>
        <v>100</v>
      </c>
      <c r="R90" s="52">
        <f t="shared" ref="R90" si="260">F90-J90-N90</f>
        <v>0</v>
      </c>
      <c r="S90" s="52">
        <f t="shared" ref="S90" si="261">G90-K90-O90</f>
        <v>17500</v>
      </c>
    </row>
    <row r="91" spans="1:20" ht="34.5" customHeight="1" x14ac:dyDescent="0.5">
      <c r="A91" s="9"/>
      <c r="B91" s="18" t="s">
        <v>30</v>
      </c>
      <c r="C91" s="18"/>
      <c r="D91" s="24"/>
      <c r="E91" s="19">
        <f>F91+G91</f>
        <v>4369700</v>
      </c>
      <c r="F91" s="19">
        <f>SUM(F92:F106)</f>
        <v>0</v>
      </c>
      <c r="G91" s="19">
        <f>SUM(G92:G107)</f>
        <v>4369700</v>
      </c>
      <c r="H91" s="19">
        <f>J91+K91</f>
        <v>3205518.6199999996</v>
      </c>
      <c r="I91" s="19">
        <f>H91*100/E91</f>
        <v>73.357864841979989</v>
      </c>
      <c r="J91" s="19">
        <f>SUM(J92:J106)</f>
        <v>0</v>
      </c>
      <c r="K91" s="19">
        <f>SUM(K92:K107)</f>
        <v>3205518.6199999996</v>
      </c>
      <c r="L91" s="19">
        <f>N91+O91</f>
        <v>0</v>
      </c>
      <c r="M91" s="19">
        <f>L91*100/E91</f>
        <v>0</v>
      </c>
      <c r="N91" s="19">
        <f>SUM(N92:N107)</f>
        <v>0</v>
      </c>
      <c r="O91" s="19">
        <f>SUM(O92:O107)</f>
        <v>0</v>
      </c>
      <c r="P91" s="19">
        <f t="shared" si="213"/>
        <v>1164181.3800000004</v>
      </c>
      <c r="Q91" s="19">
        <f>P91*100/E91</f>
        <v>26.642135158020007</v>
      </c>
      <c r="R91" s="19">
        <f t="shared" si="215"/>
        <v>0</v>
      </c>
      <c r="S91" s="19">
        <f t="shared" si="216"/>
        <v>1164181.3800000004</v>
      </c>
    </row>
    <row r="92" spans="1:20" ht="31.5" customHeight="1" x14ac:dyDescent="0.5">
      <c r="A92" s="9">
        <v>75</v>
      </c>
      <c r="B92" s="11" t="str">
        <f>[17]รายการสรุป!$E$5</f>
        <v>ปรับปรุงคลองซอย36.7L-RMCกิ่วลม ต.บ้านเป้า อ.เมือง จ.ลำปาง</v>
      </c>
      <c r="C92" s="54" t="str">
        <f>[17]รายการสรุป!$I$5</f>
        <v>0700349052420162</v>
      </c>
      <c r="D92" s="55" t="s">
        <v>29</v>
      </c>
      <c r="E92" s="52">
        <f t="shared" ref="E92" si="262">F92+G92</f>
        <v>530000</v>
      </c>
      <c r="F92" s="52">
        <v>0</v>
      </c>
      <c r="G92" s="53">
        <f>[17]รายการสรุป!$J$5</f>
        <v>530000</v>
      </c>
      <c r="H92" s="52">
        <f t="shared" ref="H92" si="263">J92+K92</f>
        <v>478625.49999999994</v>
      </c>
      <c r="I92" s="52">
        <f t="shared" ref="I92" si="264">H92*100/E92</f>
        <v>90.306698113207531</v>
      </c>
      <c r="J92" s="52">
        <v>0</v>
      </c>
      <c r="K92" s="52">
        <f>4715+7380+2320+2870+9556+7570+9951+80937.4+10878+5335+30000+14255+4640+6061+29980+5980+6300+3986+53382.2+2080+49994+30136.8+19950+9870.1+35000+35498</f>
        <v>478625.49999999994</v>
      </c>
      <c r="L92" s="52">
        <f t="shared" ref="L92" si="265">N92+O92</f>
        <v>0</v>
      </c>
      <c r="M92" s="52">
        <f t="shared" ref="M92" si="266">L92*100/E92</f>
        <v>0</v>
      </c>
      <c r="N92" s="52">
        <v>0</v>
      </c>
      <c r="O92" s="52">
        <v>0</v>
      </c>
      <c r="P92" s="52">
        <f t="shared" ref="P92" si="267">R92+S92</f>
        <v>51374.500000000058</v>
      </c>
      <c r="Q92" s="52">
        <f t="shared" ref="Q92" si="268">P92*100/E92</f>
        <v>9.6933018867924634</v>
      </c>
      <c r="R92" s="52">
        <f t="shared" ref="R92" si="269">F92-J92-N92</f>
        <v>0</v>
      </c>
      <c r="S92" s="52">
        <f t="shared" ref="S92" si="270">G92-K92-O92</f>
        <v>51374.500000000058</v>
      </c>
    </row>
    <row r="93" spans="1:20" ht="31.5" customHeight="1" x14ac:dyDescent="0.5">
      <c r="A93" s="9">
        <v>76</v>
      </c>
      <c r="B93" s="11" t="str">
        <f>[17]รายการสรุป!$E$6</f>
        <v>ปรับปรุงคลองซอย35.7L-RMCกิ่วลม ต.บ้านเป้า อ.เมือง จ.ลำปาง</v>
      </c>
      <c r="C93" s="54" t="str">
        <f>[17]รายการสรุป!$I$6</f>
        <v>0700349052420163</v>
      </c>
      <c r="D93" s="55" t="s">
        <v>29</v>
      </c>
      <c r="E93" s="52">
        <f t="shared" ref="E93" si="271">F93+G93</f>
        <v>550000</v>
      </c>
      <c r="F93" s="52">
        <v>0</v>
      </c>
      <c r="G93" s="53">
        <f>[17]รายการสรุป!$J$6</f>
        <v>550000</v>
      </c>
      <c r="H93" s="52">
        <f t="shared" ref="H93" si="272">J93+K93</f>
        <v>433908.2</v>
      </c>
      <c r="I93" s="52">
        <f t="shared" ref="I93" si="273">H93*100/E93</f>
        <v>78.892399999999995</v>
      </c>
      <c r="J93" s="52">
        <v>0</v>
      </c>
      <c r="K93" s="52">
        <f>50602+22531+8621+40323+23805+5950.75+17343.55+6749+8728.7+3822.8+12999+11893+53959.6+3966+36998+44300+12368.4+12568.4+17997+26908+2560+3646+5268</f>
        <v>433908.2</v>
      </c>
      <c r="L93" s="52">
        <f t="shared" ref="L93" si="274">N93+O93</f>
        <v>0</v>
      </c>
      <c r="M93" s="52">
        <f t="shared" ref="M93" si="275">L93*100/E93</f>
        <v>0</v>
      </c>
      <c r="N93" s="52">
        <v>0</v>
      </c>
      <c r="O93" s="52">
        <v>0</v>
      </c>
      <c r="P93" s="52">
        <f t="shared" ref="P93:P121" si="276">R93+S93</f>
        <v>116091.79999999999</v>
      </c>
      <c r="Q93" s="52">
        <f t="shared" ref="Q93" si="277">P93*100/E93</f>
        <v>21.107599999999998</v>
      </c>
      <c r="R93" s="52">
        <f t="shared" ref="R93:R121" si="278">F93-J93-N93</f>
        <v>0</v>
      </c>
      <c r="S93" s="52">
        <f t="shared" ref="S93:S121" si="279">G93-K93-O93</f>
        <v>116091.79999999999</v>
      </c>
    </row>
    <row r="94" spans="1:20" ht="31.5" customHeight="1" x14ac:dyDescent="0.5">
      <c r="A94" s="9">
        <v>77</v>
      </c>
      <c r="B94" s="11" t="str">
        <f>[17]รายการสรุป!$E$7</f>
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</c>
      <c r="C94" s="54" t="str">
        <f>[17]รายการสรุป!$I$7</f>
        <v>0700349052420031</v>
      </c>
      <c r="D94" s="55" t="s">
        <v>45</v>
      </c>
      <c r="E94" s="52">
        <f t="shared" ref="E94" si="280">F94+G94</f>
        <v>418700</v>
      </c>
      <c r="F94" s="52">
        <v>0</v>
      </c>
      <c r="G94" s="53">
        <f>[17]รายการสรุป!$J$7</f>
        <v>418700</v>
      </c>
      <c r="H94" s="52">
        <f t="shared" ref="H94" si="281">J94+K94</f>
        <v>367611.75999999995</v>
      </c>
      <c r="I94" s="52">
        <f t="shared" ref="I94" si="282">H94*100/E94</f>
        <v>87.798366372104113</v>
      </c>
      <c r="J94" s="52">
        <v>0</v>
      </c>
      <c r="K94" s="52">
        <f>99982.2+109506.6+34914.8+5022.8+30260+40766.5+9734.86+5736+20000+4264+7424</f>
        <v>367611.75999999995</v>
      </c>
      <c r="L94" s="52">
        <f t="shared" ref="L94" si="283">N94+O94</f>
        <v>0</v>
      </c>
      <c r="M94" s="52">
        <f t="shared" ref="M94" si="284">L94*100/E94</f>
        <v>0</v>
      </c>
      <c r="N94" s="52">
        <v>0</v>
      </c>
      <c r="O94" s="52">
        <v>0</v>
      </c>
      <c r="P94" s="52">
        <f t="shared" ref="P94" si="285">R94+S94</f>
        <v>51088.240000000049</v>
      </c>
      <c r="Q94" s="52">
        <f t="shared" ref="Q94" si="286">P94*100/E94</f>
        <v>12.201633627895879</v>
      </c>
      <c r="R94" s="52">
        <f t="shared" ref="R94" si="287">F94-J94-N94</f>
        <v>0</v>
      </c>
      <c r="S94" s="52">
        <f t="shared" ref="S94" si="288">G94-K94-O94</f>
        <v>51088.240000000049</v>
      </c>
    </row>
    <row r="95" spans="1:20" ht="31.5" customHeight="1" x14ac:dyDescent="0.5">
      <c r="A95" s="9">
        <v>78</v>
      </c>
      <c r="B95" s="11" t="str">
        <f>[17]รายการสรุป!$E$8</f>
        <v>ปรับปรุงฝายแม่ไพรลูกที่ 5 พร้อมอาคารประกอบ ต.หนองหล่ม อ.ห้างฉัตร จ.ลำปาง</v>
      </c>
      <c r="C95" s="54" t="str">
        <f>[17]รายการสรุป!$I$8</f>
        <v>0700349052420032</v>
      </c>
      <c r="D95" s="55" t="s">
        <v>45</v>
      </c>
      <c r="E95" s="52">
        <f t="shared" ref="E95:E96" si="289">F95+G95</f>
        <v>479000</v>
      </c>
      <c r="F95" s="52">
        <v>0</v>
      </c>
      <c r="G95" s="53">
        <f>[17]รายการสรุป!$J$8</f>
        <v>479000</v>
      </c>
      <c r="H95" s="52">
        <f t="shared" ref="H95:H96" si="290">J95+K95</f>
        <v>313658.31</v>
      </c>
      <c r="I95" s="52">
        <f t="shared" ref="I95:I96" si="291">H95*100/E95</f>
        <v>65.4819018789144</v>
      </c>
      <c r="J95" s="52">
        <v>0</v>
      </c>
      <c r="K95" s="52">
        <f>21850+22400+18736+28121.2+4222.8+4222.8+68458.5+36628+7622+5493.81+8852+36502.2+24238+480+17669+8162</f>
        <v>313658.31</v>
      </c>
      <c r="L95" s="52">
        <f t="shared" ref="L95:L96" si="292">N95+O95</f>
        <v>0</v>
      </c>
      <c r="M95" s="52">
        <f t="shared" ref="M95:M96" si="293">L95*100/E95</f>
        <v>0</v>
      </c>
      <c r="N95" s="52">
        <v>0</v>
      </c>
      <c r="O95" s="52">
        <v>0</v>
      </c>
      <c r="P95" s="52">
        <f t="shared" ref="P95:P96" si="294">R95+S95</f>
        <v>165341.69</v>
      </c>
      <c r="Q95" s="52">
        <f t="shared" ref="Q95:Q96" si="295">P95*100/E95</f>
        <v>34.518098121085593</v>
      </c>
      <c r="R95" s="52">
        <f t="shared" ref="R95:R96" si="296">F95-J95-N95</f>
        <v>0</v>
      </c>
      <c r="S95" s="52">
        <f t="shared" ref="S95:S96" si="297">G95-K95-O95</f>
        <v>165341.69</v>
      </c>
    </row>
    <row r="96" spans="1:20" ht="31.5" customHeight="1" x14ac:dyDescent="0.5">
      <c r="A96" s="9">
        <v>79</v>
      </c>
      <c r="B96" s="11" t="str">
        <f>[17]รายการสรุป!$E$9</f>
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</c>
      <c r="C96" s="54" t="str">
        <f>[17]รายการสรุป!$I$9</f>
        <v>0700349052420036</v>
      </c>
      <c r="D96" s="55" t="s">
        <v>45</v>
      </c>
      <c r="E96" s="52">
        <f t="shared" si="289"/>
        <v>300000</v>
      </c>
      <c r="F96" s="52">
        <v>0</v>
      </c>
      <c r="G96" s="53">
        <f>[17]รายการสรุป!$J$9</f>
        <v>300000</v>
      </c>
      <c r="H96" s="52">
        <f t="shared" si="290"/>
        <v>288297</v>
      </c>
      <c r="I96" s="52">
        <f t="shared" si="291"/>
        <v>96.099000000000004</v>
      </c>
      <c r="J96" s="52">
        <v>0</v>
      </c>
      <c r="K96" s="52">
        <f>53382.2+64500+39465.3+64623.4+42638.1+4858+1040+12500+4010+1280</f>
        <v>288297</v>
      </c>
      <c r="L96" s="52">
        <f t="shared" si="292"/>
        <v>0</v>
      </c>
      <c r="M96" s="52">
        <f t="shared" si="293"/>
        <v>0</v>
      </c>
      <c r="N96" s="52">
        <v>0</v>
      </c>
      <c r="O96" s="52">
        <v>0</v>
      </c>
      <c r="P96" s="52">
        <f t="shared" si="294"/>
        <v>11703</v>
      </c>
      <c r="Q96" s="52">
        <f t="shared" si="295"/>
        <v>3.9009999999999998</v>
      </c>
      <c r="R96" s="52">
        <f t="shared" si="296"/>
        <v>0</v>
      </c>
      <c r="S96" s="52">
        <f t="shared" si="297"/>
        <v>11703</v>
      </c>
    </row>
    <row r="97" spans="1:19" ht="31.5" customHeight="1" x14ac:dyDescent="0.5">
      <c r="A97" s="9">
        <v>80</v>
      </c>
      <c r="B97" s="11" t="str">
        <f>[18]รายการสรุป!$E$10</f>
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</c>
      <c r="C97" s="54" t="str">
        <f>[18]รายการสรุป!$I$10</f>
        <v>0700349052410181</v>
      </c>
      <c r="D97" s="55" t="s">
        <v>29</v>
      </c>
      <c r="E97" s="52">
        <f t="shared" ref="E97" si="298">F97+G97</f>
        <v>250000</v>
      </c>
      <c r="F97" s="52">
        <v>0</v>
      </c>
      <c r="G97" s="53">
        <f>[18]รายการสรุป!$J$10</f>
        <v>250000</v>
      </c>
      <c r="H97" s="52">
        <f t="shared" ref="H97" si="299">J97+K97</f>
        <v>205187</v>
      </c>
      <c r="I97" s="52">
        <f t="shared" ref="I97" si="300">H97*100/E97</f>
        <v>82.074799999999996</v>
      </c>
      <c r="J97" s="52">
        <v>0</v>
      </c>
      <c r="K97" s="52">
        <f>39676+4871+6720+34914.8+31040+14600+31740+15391.2+7883+7871+6080+2080+2320</f>
        <v>205187</v>
      </c>
      <c r="L97" s="52">
        <f t="shared" ref="L97" si="301">N97+O97</f>
        <v>0</v>
      </c>
      <c r="M97" s="52">
        <f t="shared" ref="M97" si="302">L97*100/E97</f>
        <v>0</v>
      </c>
      <c r="N97" s="52">
        <v>0</v>
      </c>
      <c r="O97" s="52">
        <v>0</v>
      </c>
      <c r="P97" s="52">
        <f t="shared" ref="P97" si="303">R97+S97</f>
        <v>44813</v>
      </c>
      <c r="Q97" s="52">
        <f t="shared" ref="Q97" si="304">P97*100/E97</f>
        <v>17.9252</v>
      </c>
      <c r="R97" s="52">
        <f t="shared" ref="R97" si="305">F97-J97-N97</f>
        <v>0</v>
      </c>
      <c r="S97" s="52">
        <f t="shared" ref="S97" si="306">G97-K97-O97</f>
        <v>44813</v>
      </c>
    </row>
    <row r="98" spans="1:19" ht="31.5" customHeight="1" x14ac:dyDescent="0.5">
      <c r="A98" s="9">
        <v>81</v>
      </c>
      <c r="B98" s="11" t="str">
        <f>[18]รายการสรุป!$E$11</f>
        <v>ปรับปรุงคลองซอย8+034RMCกิ่วลม อ.เมือง จ.ลำปาง</v>
      </c>
      <c r="C98" s="54" t="str">
        <f>[18]รายการสรุป!$I$11</f>
        <v>0700349052410183</v>
      </c>
      <c r="D98" s="55" t="s">
        <v>29</v>
      </c>
      <c r="E98" s="52">
        <f t="shared" ref="E98:E101" si="307">F98+G98</f>
        <v>113000</v>
      </c>
      <c r="F98" s="52">
        <v>0</v>
      </c>
      <c r="G98" s="53">
        <f>[18]รายการสรุป!$J$11</f>
        <v>113000</v>
      </c>
      <c r="H98" s="52">
        <f t="shared" ref="H98:H101" si="308">J98+K98</f>
        <v>107655.35</v>
      </c>
      <c r="I98" s="52">
        <f t="shared" ref="I98:I101" si="309">H98*100/E98</f>
        <v>95.270221238938049</v>
      </c>
      <c r="J98" s="52">
        <v>0</v>
      </c>
      <c r="K98" s="52">
        <f>24995.55+26979.8+33680+22000</f>
        <v>107655.35</v>
      </c>
      <c r="L98" s="52">
        <f t="shared" ref="L98:L101" si="310">N98+O98</f>
        <v>0</v>
      </c>
      <c r="M98" s="52">
        <f t="shared" ref="M98:M101" si="311">L98*100/E98</f>
        <v>0</v>
      </c>
      <c r="N98" s="52">
        <v>0</v>
      </c>
      <c r="O98" s="52">
        <v>0</v>
      </c>
      <c r="P98" s="52">
        <f t="shared" ref="P98:P101" si="312">R98+S98</f>
        <v>5344.6499999999942</v>
      </c>
      <c r="Q98" s="52">
        <f t="shared" ref="Q98:Q101" si="313">P98*100/E98</f>
        <v>4.7297787610619419</v>
      </c>
      <c r="R98" s="52">
        <f t="shared" ref="R98:R101" si="314">F98-J98-N98</f>
        <v>0</v>
      </c>
      <c r="S98" s="52">
        <f t="shared" ref="S98:S101" si="315">G98-K98-O98</f>
        <v>5344.6499999999942</v>
      </c>
    </row>
    <row r="99" spans="1:19" ht="31.5" customHeight="1" x14ac:dyDescent="0.5">
      <c r="A99" s="9">
        <v>82</v>
      </c>
      <c r="B99" s="11" t="str">
        <f>[18]รายการสรุป!$E$12</f>
        <v>ปรับปรุงคลองซอย18.3L-RMCกิ่วลม  อ.เมือง จ.ลำปาง</v>
      </c>
      <c r="C99" s="54" t="str">
        <f>[18]รายการสรุป!$I$12</f>
        <v>0700349052410184</v>
      </c>
      <c r="D99" s="55" t="s">
        <v>29</v>
      </c>
      <c r="E99" s="52">
        <f t="shared" si="307"/>
        <v>182000</v>
      </c>
      <c r="F99" s="52">
        <v>0</v>
      </c>
      <c r="G99" s="53">
        <f>[18]รายการสรุป!$J$12</f>
        <v>182000</v>
      </c>
      <c r="H99" s="52">
        <f t="shared" si="308"/>
        <v>98787</v>
      </c>
      <c r="I99" s="52">
        <f t="shared" si="309"/>
        <v>54.278571428571432</v>
      </c>
      <c r="J99" s="52">
        <v>0</v>
      </c>
      <c r="K99" s="52">
        <f>18460+10000+35438+10000+7332+9113+2560+5884</f>
        <v>98787</v>
      </c>
      <c r="L99" s="52">
        <f t="shared" si="310"/>
        <v>0</v>
      </c>
      <c r="M99" s="52">
        <f t="shared" si="311"/>
        <v>0</v>
      </c>
      <c r="N99" s="52">
        <v>0</v>
      </c>
      <c r="O99" s="52">
        <v>0</v>
      </c>
      <c r="P99" s="52">
        <f t="shared" si="312"/>
        <v>83213</v>
      </c>
      <c r="Q99" s="52">
        <f t="shared" si="313"/>
        <v>45.721428571428568</v>
      </c>
      <c r="R99" s="52">
        <f t="shared" si="314"/>
        <v>0</v>
      </c>
      <c r="S99" s="52">
        <f t="shared" si="315"/>
        <v>83213</v>
      </c>
    </row>
    <row r="100" spans="1:19" ht="31.5" customHeight="1" x14ac:dyDescent="0.5">
      <c r="A100" s="9">
        <v>83</v>
      </c>
      <c r="B100" s="11" t="str">
        <f>[18]รายการสรุป!$E$13</f>
        <v>ปรับปรุงคลองซอย กม5+838 RMCกิ่วลม อ.เมือง จ.ลำปาง</v>
      </c>
      <c r="C100" s="54" t="str">
        <f>[18]รายการสรุป!$I$13</f>
        <v>0700349052410185</v>
      </c>
      <c r="D100" s="55" t="s">
        <v>29</v>
      </c>
      <c r="E100" s="52">
        <f t="shared" si="307"/>
        <v>112000</v>
      </c>
      <c r="F100" s="52">
        <v>0</v>
      </c>
      <c r="G100" s="53">
        <f>[18]รายการสรุป!$J$13</f>
        <v>112000</v>
      </c>
      <c r="H100" s="52">
        <f t="shared" si="308"/>
        <v>99180.800000000003</v>
      </c>
      <c r="I100" s="52">
        <f t="shared" si="309"/>
        <v>88.554285714285712</v>
      </c>
      <c r="J100" s="52">
        <v>0</v>
      </c>
      <c r="K100" s="52">
        <f>7935+8331.85+8728.7+9125.55+7200.65+33220+7935+7578.5+9125.55</f>
        <v>99180.800000000003</v>
      </c>
      <c r="L100" s="52">
        <f t="shared" si="310"/>
        <v>0</v>
      </c>
      <c r="M100" s="52">
        <f t="shared" si="311"/>
        <v>0</v>
      </c>
      <c r="N100" s="52">
        <v>0</v>
      </c>
      <c r="O100" s="52">
        <v>0</v>
      </c>
      <c r="P100" s="52">
        <f t="shared" si="312"/>
        <v>12819.199999999997</v>
      </c>
      <c r="Q100" s="52">
        <f t="shared" si="313"/>
        <v>11.445714285714283</v>
      </c>
      <c r="R100" s="52">
        <f t="shared" si="314"/>
        <v>0</v>
      </c>
      <c r="S100" s="52">
        <f t="shared" si="315"/>
        <v>12819.199999999997</v>
      </c>
    </row>
    <row r="101" spans="1:19" ht="45.75" customHeight="1" x14ac:dyDescent="0.5">
      <c r="A101" s="9">
        <v>84</v>
      </c>
      <c r="B101" s="11" t="str">
        <f>[18]รายการสรุป!$E$14</f>
        <v>ปรับปรุงระบายน้ำปลายคลอง คลองซอย 1.6L-RMCกิ่วลม11.2L-RMCกิ่วลมและคลองแยกซอย15.2L-RMCกิ่วลม อ.เมือง จ.ลำปาง</v>
      </c>
      <c r="C101" s="54" t="str">
        <f>[18]รายการสรุป!$I$14</f>
        <v>0700349052410186</v>
      </c>
      <c r="D101" s="55" t="s">
        <v>29</v>
      </c>
      <c r="E101" s="52">
        <f t="shared" si="307"/>
        <v>128000</v>
      </c>
      <c r="F101" s="52">
        <v>0</v>
      </c>
      <c r="G101" s="53">
        <f>[18]รายการสรุป!$J$14</f>
        <v>128000</v>
      </c>
      <c r="H101" s="52">
        <f t="shared" si="308"/>
        <v>102164.85</v>
      </c>
      <c r="I101" s="52">
        <f t="shared" si="309"/>
        <v>79.816289062500005</v>
      </c>
      <c r="J101" s="52">
        <v>0</v>
      </c>
      <c r="K101" s="52">
        <f>24995.55+27376.65+23350+14250+9125.55+3067.1</f>
        <v>102164.85</v>
      </c>
      <c r="L101" s="52">
        <f t="shared" si="310"/>
        <v>0</v>
      </c>
      <c r="M101" s="52">
        <f t="shared" si="311"/>
        <v>0</v>
      </c>
      <c r="N101" s="52">
        <v>0</v>
      </c>
      <c r="O101" s="52">
        <v>0</v>
      </c>
      <c r="P101" s="52">
        <f t="shared" si="312"/>
        <v>25835.149999999994</v>
      </c>
      <c r="Q101" s="52">
        <f t="shared" si="313"/>
        <v>20.183710937499995</v>
      </c>
      <c r="R101" s="52">
        <f t="shared" si="314"/>
        <v>0</v>
      </c>
      <c r="S101" s="52">
        <f t="shared" si="315"/>
        <v>25835.149999999994</v>
      </c>
    </row>
    <row r="102" spans="1:19" ht="28.5" customHeight="1" x14ac:dyDescent="0.5">
      <c r="A102" s="9">
        <v>85</v>
      </c>
      <c r="B102" s="11" t="str">
        <f>[18]รายการสรุป!$E$15</f>
        <v>ปรับปรุงท่อส่งน้ำสนับสนุนแปลงใหญ่ 9 แห่ง คลองซอย 12 RMCกิ่วลม ต.ลำปางหลวง อ.เกาะคา จ.ลำปาง</v>
      </c>
      <c r="C102" s="54" t="str">
        <f>[18]รายการสรุป!$I$15</f>
        <v>0700349052410180</v>
      </c>
      <c r="D102" s="55" t="s">
        <v>50</v>
      </c>
      <c r="E102" s="52">
        <f t="shared" ref="E102" si="316">F102+G102</f>
        <v>23000</v>
      </c>
      <c r="F102" s="52">
        <v>0</v>
      </c>
      <c r="G102" s="53">
        <f>[18]รายการสรุป!$J$15</f>
        <v>23000</v>
      </c>
      <c r="H102" s="52">
        <f t="shared" ref="H102" si="317">J102+K102</f>
        <v>15652</v>
      </c>
      <c r="I102" s="52">
        <f t="shared" ref="I102" si="318">H102*100/E102</f>
        <v>68.052173913043475</v>
      </c>
      <c r="J102" s="52">
        <v>0</v>
      </c>
      <c r="K102" s="52">
        <f>15652</f>
        <v>15652</v>
      </c>
      <c r="L102" s="52">
        <f t="shared" ref="L102" si="319">N102+O102</f>
        <v>0</v>
      </c>
      <c r="M102" s="52">
        <f t="shared" ref="M102" si="320">L102*100/E102</f>
        <v>0</v>
      </c>
      <c r="N102" s="52">
        <v>0</v>
      </c>
      <c r="O102" s="52">
        <v>0</v>
      </c>
      <c r="P102" s="52">
        <f t="shared" ref="P102" si="321">R102+S102</f>
        <v>7348</v>
      </c>
      <c r="Q102" s="52">
        <f t="shared" ref="Q102" si="322">P102*100/E102</f>
        <v>31.947826086956521</v>
      </c>
      <c r="R102" s="52">
        <f t="shared" ref="R102" si="323">F102-J102-N102</f>
        <v>0</v>
      </c>
      <c r="S102" s="52">
        <f t="shared" ref="S102" si="324">G102-K102-O102</f>
        <v>7348</v>
      </c>
    </row>
    <row r="103" spans="1:19" ht="25.5" customHeight="1" x14ac:dyDescent="0.5">
      <c r="A103" s="9">
        <v>86</v>
      </c>
      <c r="B103" s="11" t="str">
        <f>[18]รายการสรุป!$E$16</f>
        <v>ปรับปรุงอาคารอัดน้ำกลางคลอง RMC กิ่วคอมา จำนวน 3 แห่ง อ.แจ้ห่ม จ.ลำปาง</v>
      </c>
      <c r="C103" s="54" t="str">
        <f>[18]รายการสรุป!$I$16</f>
        <v>0700349052410182</v>
      </c>
      <c r="D103" s="55" t="s">
        <v>50</v>
      </c>
      <c r="E103" s="52">
        <f t="shared" ref="E103:E106" si="325">F103+G103</f>
        <v>280000</v>
      </c>
      <c r="F103" s="52">
        <v>0</v>
      </c>
      <c r="G103" s="53">
        <f>[18]รายการสรุป!$J$16</f>
        <v>280000</v>
      </c>
      <c r="H103" s="52">
        <f t="shared" ref="H103:H106" si="326">J103+K103</f>
        <v>135762.4</v>
      </c>
      <c r="I103" s="52">
        <f t="shared" ref="I103:I106" si="327">H103*100/E103</f>
        <v>48.48657142857143</v>
      </c>
      <c r="J103" s="52">
        <v>0</v>
      </c>
      <c r="K103" s="52">
        <f>21400+64623.4+49739</f>
        <v>135762.4</v>
      </c>
      <c r="L103" s="52">
        <f t="shared" ref="L103:L106" si="328">N103+O103</f>
        <v>0</v>
      </c>
      <c r="M103" s="52">
        <f t="shared" ref="M103:M106" si="329">L103*100/E103</f>
        <v>0</v>
      </c>
      <c r="N103" s="52">
        <v>0</v>
      </c>
      <c r="O103" s="52">
        <v>0</v>
      </c>
      <c r="P103" s="52">
        <f t="shared" ref="P103:P106" si="330">R103+S103</f>
        <v>144237.6</v>
      </c>
      <c r="Q103" s="52">
        <f t="shared" ref="Q103:Q106" si="331">P103*100/E103</f>
        <v>51.51342857142857</v>
      </c>
      <c r="R103" s="52">
        <f t="shared" ref="R103:R106" si="332">F103-J103-N103</f>
        <v>0</v>
      </c>
      <c r="S103" s="52">
        <f t="shared" ref="S103:S106" si="333">G103-K103-O103</f>
        <v>144237.6</v>
      </c>
    </row>
    <row r="104" spans="1:19" ht="24.75" customHeight="1" x14ac:dyDescent="0.5">
      <c r="A104" s="9">
        <v>87</v>
      </c>
      <c r="B104" s="11" t="str">
        <f>[18]รายการสรุป!$E$17</f>
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</c>
      <c r="C104" s="54" t="str">
        <f>[18]รายการสรุป!$I$17</f>
        <v>0700349052410187</v>
      </c>
      <c r="D104" s="55" t="s">
        <v>50</v>
      </c>
      <c r="E104" s="52">
        <f t="shared" si="325"/>
        <v>187000</v>
      </c>
      <c r="F104" s="52">
        <v>0</v>
      </c>
      <c r="G104" s="53">
        <f>[18]รายการสรุป!$J$17</f>
        <v>187000</v>
      </c>
      <c r="H104" s="52">
        <f t="shared" si="326"/>
        <v>147755.79999999999</v>
      </c>
      <c r="I104" s="52">
        <f t="shared" si="327"/>
        <v>79.013796791443838</v>
      </c>
      <c r="J104" s="52">
        <v>0</v>
      </c>
      <c r="K104" s="52">
        <f>54070.2+59220.6+34465</f>
        <v>147755.79999999999</v>
      </c>
      <c r="L104" s="52">
        <f t="shared" si="328"/>
        <v>0</v>
      </c>
      <c r="M104" s="52">
        <f t="shared" si="329"/>
        <v>0</v>
      </c>
      <c r="N104" s="52">
        <v>0</v>
      </c>
      <c r="O104" s="52">
        <v>0</v>
      </c>
      <c r="P104" s="52">
        <f t="shared" si="330"/>
        <v>39244.200000000012</v>
      </c>
      <c r="Q104" s="52">
        <f t="shared" si="331"/>
        <v>20.986203208556155</v>
      </c>
      <c r="R104" s="52">
        <f t="shared" si="332"/>
        <v>0</v>
      </c>
      <c r="S104" s="52">
        <f t="shared" si="333"/>
        <v>39244.200000000012</v>
      </c>
    </row>
    <row r="105" spans="1:19" ht="23.25" customHeight="1" x14ac:dyDescent="0.5">
      <c r="A105" s="9">
        <v>88</v>
      </c>
      <c r="B105" s="11" t="str">
        <f>[18]รายการสรุป!$E$18</f>
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</c>
      <c r="C105" s="54" t="str">
        <f>[18]รายการสรุป!$I$18</f>
        <v>0700349052410188</v>
      </c>
      <c r="D105" s="55" t="s">
        <v>50</v>
      </c>
      <c r="E105" s="52">
        <f t="shared" si="325"/>
        <v>23000</v>
      </c>
      <c r="F105" s="52">
        <v>0</v>
      </c>
      <c r="G105" s="53">
        <f>[18]รายการสรุป!$J$18</f>
        <v>23000</v>
      </c>
      <c r="H105" s="52">
        <f t="shared" si="326"/>
        <v>0</v>
      </c>
      <c r="I105" s="52">
        <f t="shared" si="327"/>
        <v>0</v>
      </c>
      <c r="J105" s="52">
        <v>0</v>
      </c>
      <c r="K105" s="52"/>
      <c r="L105" s="52">
        <f t="shared" si="328"/>
        <v>0</v>
      </c>
      <c r="M105" s="52">
        <f t="shared" si="329"/>
        <v>0</v>
      </c>
      <c r="N105" s="52">
        <v>0</v>
      </c>
      <c r="O105" s="52">
        <v>0</v>
      </c>
      <c r="P105" s="52">
        <f t="shared" si="330"/>
        <v>23000</v>
      </c>
      <c r="Q105" s="52">
        <f t="shared" si="331"/>
        <v>100</v>
      </c>
      <c r="R105" s="52">
        <f t="shared" si="332"/>
        <v>0</v>
      </c>
      <c r="S105" s="52">
        <f t="shared" si="333"/>
        <v>23000</v>
      </c>
    </row>
    <row r="106" spans="1:19" ht="29.25" customHeight="1" x14ac:dyDescent="0.5">
      <c r="A106" s="9">
        <v>89</v>
      </c>
      <c r="B106" s="11" t="str">
        <f>[18]รายการสรุป!$E$19</f>
        <v>ปรับปรุงคลองแยกซอย คลองซอย 3 RMC  กิ่วคอหมา ต.แจ้ห่ม อ.แจ้ห่ม จ.ลำปาง</v>
      </c>
      <c r="C106" s="54" t="str">
        <f>[18]รายการสรุป!$I$19</f>
        <v>0700349052410189</v>
      </c>
      <c r="D106" s="55" t="s">
        <v>50</v>
      </c>
      <c r="E106" s="52">
        <f t="shared" si="325"/>
        <v>210000</v>
      </c>
      <c r="F106" s="52">
        <v>0</v>
      </c>
      <c r="G106" s="53">
        <f>[18]รายการสรุป!$J$19</f>
        <v>210000</v>
      </c>
      <c r="H106" s="52">
        <f t="shared" si="326"/>
        <v>146993</v>
      </c>
      <c r="I106" s="52">
        <f t="shared" si="327"/>
        <v>69.99666666666667</v>
      </c>
      <c r="J106" s="52">
        <v>0</v>
      </c>
      <c r="K106" s="52">
        <f>49991.1+52372.2+18170.1+14991.2+11468.4</f>
        <v>146993</v>
      </c>
      <c r="L106" s="52">
        <f t="shared" si="328"/>
        <v>0</v>
      </c>
      <c r="M106" s="52">
        <f t="shared" si="329"/>
        <v>0</v>
      </c>
      <c r="N106" s="52">
        <v>0</v>
      </c>
      <c r="O106" s="52">
        <v>0</v>
      </c>
      <c r="P106" s="52">
        <f t="shared" si="330"/>
        <v>63007</v>
      </c>
      <c r="Q106" s="52">
        <f t="shared" si="331"/>
        <v>30.003333333333334</v>
      </c>
      <c r="R106" s="52">
        <f t="shared" si="332"/>
        <v>0</v>
      </c>
      <c r="S106" s="52">
        <f t="shared" si="333"/>
        <v>63007</v>
      </c>
    </row>
    <row r="107" spans="1:19" ht="29.25" customHeight="1" x14ac:dyDescent="0.5">
      <c r="A107" s="9">
        <v>90</v>
      </c>
      <c r="B107" s="11" t="str">
        <f>[18]รายการสรุป!$E$20</f>
        <v>ปรับปรุงฝายห้วยแม่ไพรลูกที่ 6  พร้อมระบบส่งน้ำ ต.บ้านเป้า อ.เมือง จ.ลำปาง</v>
      </c>
      <c r="C107" s="54" t="str">
        <f>[18]รายการสรุป!$I$20</f>
        <v>0700349052420033</v>
      </c>
      <c r="D107" s="55" t="s">
        <v>61</v>
      </c>
      <c r="E107" s="52">
        <f t="shared" ref="E107" si="334">F107+G107</f>
        <v>584000</v>
      </c>
      <c r="F107" s="52">
        <v>0</v>
      </c>
      <c r="G107" s="53">
        <f>[18]รายการสรุป!$J$20</f>
        <v>584000</v>
      </c>
      <c r="H107" s="52">
        <f t="shared" ref="H107" si="335">J107+K107</f>
        <v>264279.65000000002</v>
      </c>
      <c r="I107" s="52">
        <f t="shared" ref="I107" si="336">H107*100/E107</f>
        <v>45.253364726027407</v>
      </c>
      <c r="J107" s="52">
        <v>0</v>
      </c>
      <c r="K107" s="52">
        <f>20000+10000+29991+10000+108266.9+27376.65+18251.1+9157+27471+3766</f>
        <v>264279.65000000002</v>
      </c>
      <c r="L107" s="52">
        <f t="shared" ref="L107" si="337">N107+O107</f>
        <v>0</v>
      </c>
      <c r="M107" s="52">
        <f t="shared" ref="M107" si="338">L107*100/E107</f>
        <v>0</v>
      </c>
      <c r="N107" s="52">
        <v>0</v>
      </c>
      <c r="O107" s="52">
        <v>0</v>
      </c>
      <c r="P107" s="52">
        <f t="shared" ref="P107" si="339">R107+S107</f>
        <v>319720.34999999998</v>
      </c>
      <c r="Q107" s="52">
        <f t="shared" ref="Q107" si="340">P107*100/E107</f>
        <v>54.746635273972593</v>
      </c>
      <c r="R107" s="52">
        <f t="shared" ref="R107" si="341">F107-J107-N107</f>
        <v>0</v>
      </c>
      <c r="S107" s="52">
        <f t="shared" ref="S107" si="342">G107-K107-O107</f>
        <v>319720.34999999998</v>
      </c>
    </row>
    <row r="108" spans="1:19" ht="29.25" customHeight="1" x14ac:dyDescent="0.5">
      <c r="A108" s="9"/>
      <c r="B108" s="11"/>
      <c r="C108" s="54"/>
      <c r="D108" s="55"/>
      <c r="E108" s="52"/>
      <c r="F108" s="52"/>
      <c r="G108" s="53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</row>
    <row r="109" spans="1:19" ht="31.5" customHeight="1" x14ac:dyDescent="0.5">
      <c r="A109" s="9"/>
      <c r="B109" s="18" t="s">
        <v>72</v>
      </c>
      <c r="C109" s="18"/>
      <c r="D109" s="24"/>
      <c r="E109" s="19">
        <f>F109+G109</f>
        <v>1828333.8</v>
      </c>
      <c r="F109" s="19">
        <f>SUM(F110:F114)</f>
        <v>0</v>
      </c>
      <c r="G109" s="19">
        <f>SUM(G110:G114)</f>
        <v>1828333.8</v>
      </c>
      <c r="H109" s="19">
        <f>J109+K109</f>
        <v>1517131.25</v>
      </c>
      <c r="I109" s="19">
        <f>H109*100/E109</f>
        <v>82.978898601557333</v>
      </c>
      <c r="J109" s="19">
        <f>SUM(J110:J114)</f>
        <v>0</v>
      </c>
      <c r="K109" s="19">
        <f>SUM(K110:K114)</f>
        <v>1517131.25</v>
      </c>
      <c r="L109" s="19">
        <f>N109+O109</f>
        <v>0</v>
      </c>
      <c r="M109" s="19">
        <f>L109*100/E109</f>
        <v>0</v>
      </c>
      <c r="N109" s="19">
        <f>SUM(N110:N114)</f>
        <v>0</v>
      </c>
      <c r="O109" s="19">
        <f>SUM(O110:O114)</f>
        <v>0</v>
      </c>
      <c r="P109" s="19">
        <f t="shared" si="276"/>
        <v>311202.55000000005</v>
      </c>
      <c r="Q109" s="19">
        <f>P109*100/E109</f>
        <v>17.021101398442671</v>
      </c>
      <c r="R109" s="19">
        <f t="shared" si="278"/>
        <v>0</v>
      </c>
      <c r="S109" s="19">
        <f t="shared" si="279"/>
        <v>311202.55000000005</v>
      </c>
    </row>
    <row r="110" spans="1:19" ht="31.5" customHeight="1" x14ac:dyDescent="0.5">
      <c r="A110" s="9">
        <v>91</v>
      </c>
      <c r="B110" s="11" t="str">
        <f>[19]รายการสรุป!$E$5</f>
        <v>ปรับปรุงบ่อพักน้ำปากคลองซอย 1R-LMC ต.ดงมะดะ อ.แม่ลาว จ.เชียงราย</v>
      </c>
      <c r="C110" s="54" t="str">
        <f>[19]รายการสรุป!$I$5</f>
        <v>0700349052410016</v>
      </c>
      <c r="D110" s="55" t="s">
        <v>45</v>
      </c>
      <c r="E110" s="52">
        <f t="shared" ref="E110" si="343">F110+G110</f>
        <v>90314.8</v>
      </c>
      <c r="F110" s="52">
        <v>0</v>
      </c>
      <c r="G110" s="53">
        <f>[20]รายการสรุป!$J$5</f>
        <v>90314.8</v>
      </c>
      <c r="H110" s="52">
        <f t="shared" ref="H110" si="344">J110+K110</f>
        <v>90314.8</v>
      </c>
      <c r="I110" s="52">
        <f t="shared" ref="I110" si="345">H110*100/E110</f>
        <v>100</v>
      </c>
      <c r="J110" s="52">
        <v>0</v>
      </c>
      <c r="K110" s="52">
        <f>16663.7+18251.1+8620+2080+7100+11600+26000</f>
        <v>90314.8</v>
      </c>
      <c r="L110" s="52">
        <f t="shared" ref="L110" si="346">N110+O110</f>
        <v>0</v>
      </c>
      <c r="M110" s="52">
        <f t="shared" ref="M110" si="347">L110*100/E110</f>
        <v>0</v>
      </c>
      <c r="N110" s="52">
        <v>0</v>
      </c>
      <c r="O110" s="52">
        <v>0</v>
      </c>
      <c r="P110" s="52">
        <f t="shared" ref="P110" si="348">R110+S110</f>
        <v>0</v>
      </c>
      <c r="Q110" s="52">
        <f t="shared" ref="Q110" si="349">P110*100/E110</f>
        <v>0</v>
      </c>
      <c r="R110" s="52">
        <f t="shared" ref="R110" si="350">F110-J110-N110</f>
        <v>0</v>
      </c>
      <c r="S110" s="52">
        <f t="shared" ref="S110" si="351">G110-K110-O110</f>
        <v>0</v>
      </c>
    </row>
    <row r="111" spans="1:19" ht="31.5" customHeight="1" x14ac:dyDescent="0.5">
      <c r="A111" s="9">
        <v>92</v>
      </c>
      <c r="B111" s="11" t="str">
        <f>[19]รายการสรุป!$E$6</f>
        <v>ปรับปรุงอาคารอัดน้ำ RMCพร้อมติดตั้งเกียร์มอเตอร์ ต.ทรายขาว อ.พาน จ.เชียงราย</v>
      </c>
      <c r="C111" s="54" t="str">
        <f>[20]รายการสรุป!$I$6</f>
        <v>0700349052410190</v>
      </c>
      <c r="D111" s="55" t="s">
        <v>45</v>
      </c>
      <c r="E111" s="52">
        <f t="shared" ref="E111:E114" si="352">F111+G111</f>
        <v>36879</v>
      </c>
      <c r="F111" s="52">
        <v>0</v>
      </c>
      <c r="G111" s="53">
        <f>[19]รายการสรุป!$J$6</f>
        <v>36879</v>
      </c>
      <c r="H111" s="52">
        <f t="shared" ref="H111:H114" si="353">J111+K111</f>
        <v>33920</v>
      </c>
      <c r="I111" s="52">
        <f t="shared" ref="I111:I114" si="354">H111*100/E111</f>
        <v>91.976463570053411</v>
      </c>
      <c r="J111" s="52">
        <v>0</v>
      </c>
      <c r="K111" s="52">
        <f>2080+15780+2800+5020+1280+6960</f>
        <v>33920</v>
      </c>
      <c r="L111" s="52">
        <f t="shared" ref="L111:L114" si="355">N111+O111</f>
        <v>0</v>
      </c>
      <c r="M111" s="52">
        <f t="shared" ref="M111:M114" si="356">L111*100/E111</f>
        <v>0</v>
      </c>
      <c r="N111" s="52">
        <v>0</v>
      </c>
      <c r="O111" s="52">
        <v>0</v>
      </c>
      <c r="P111" s="52">
        <f t="shared" ref="P111:P115" si="357">R111+S111</f>
        <v>2959</v>
      </c>
      <c r="Q111" s="52">
        <f t="shared" ref="Q111:Q114" si="358">P111*100/E111</f>
        <v>8.0235364299465814</v>
      </c>
      <c r="R111" s="52">
        <f t="shared" ref="R111:R115" si="359">F111-J111-N111</f>
        <v>0</v>
      </c>
      <c r="S111" s="52">
        <f t="shared" ref="S111:S115" si="360">G111-K111-O111</f>
        <v>2959</v>
      </c>
    </row>
    <row r="112" spans="1:19" ht="31.5" customHeight="1" x14ac:dyDescent="0.5">
      <c r="A112" s="9">
        <v>93</v>
      </c>
      <c r="B112" s="11" t="str">
        <f>[19]รายการสรุป!$E$7</f>
        <v>ปรับปรุงอาคารอัดน้ำ LMCพร้อมติดตั้งเกียร์มอเตอร์ ต.ดงมะดะ อ.แม่ลาว จ.เชียงราย</v>
      </c>
      <c r="C112" s="54" t="str">
        <f>[20]รายการสรุป!$I$7</f>
        <v>0700349052410191</v>
      </c>
      <c r="D112" s="55" t="s">
        <v>45</v>
      </c>
      <c r="E112" s="52">
        <f t="shared" si="352"/>
        <v>10640</v>
      </c>
      <c r="F112" s="52">
        <v>0</v>
      </c>
      <c r="G112" s="53">
        <f>[20]รายการสรุป!$J$7</f>
        <v>10640</v>
      </c>
      <c r="H112" s="52">
        <f t="shared" si="353"/>
        <v>10640</v>
      </c>
      <c r="I112" s="52">
        <f t="shared" si="354"/>
        <v>100</v>
      </c>
      <c r="J112" s="52">
        <v>0</v>
      </c>
      <c r="K112" s="52">
        <f>3120+7520</f>
        <v>10640</v>
      </c>
      <c r="L112" s="52">
        <f t="shared" si="355"/>
        <v>0</v>
      </c>
      <c r="M112" s="52">
        <f t="shared" si="356"/>
        <v>0</v>
      </c>
      <c r="N112" s="52">
        <v>0</v>
      </c>
      <c r="O112" s="52">
        <v>0</v>
      </c>
      <c r="P112" s="52">
        <f t="shared" si="357"/>
        <v>0</v>
      </c>
      <c r="Q112" s="52">
        <f t="shared" si="358"/>
        <v>0</v>
      </c>
      <c r="R112" s="52">
        <f t="shared" si="359"/>
        <v>0</v>
      </c>
      <c r="S112" s="52">
        <f t="shared" si="360"/>
        <v>0</v>
      </c>
    </row>
    <row r="113" spans="1:19" ht="31.5" customHeight="1" x14ac:dyDescent="0.5">
      <c r="A113" s="9">
        <v>94</v>
      </c>
      <c r="B113" s="11" t="str">
        <f>[19]รายการสรุป!$E$8</f>
        <v>ปรับปรุงคลองซอย 10L-RMC ต.เมืองพาน อ.พาน จ.เชียงราย</v>
      </c>
      <c r="C113" s="54" t="str">
        <f>[20]รายการสรุป!$I$8</f>
        <v>0700349052410192</v>
      </c>
      <c r="D113" s="55" t="s">
        <v>45</v>
      </c>
      <c r="E113" s="52">
        <f t="shared" si="352"/>
        <v>286500</v>
      </c>
      <c r="F113" s="52">
        <v>0</v>
      </c>
      <c r="G113" s="53">
        <f>[19]รายการสรุป!$J$8</f>
        <v>286500</v>
      </c>
      <c r="H113" s="52">
        <f t="shared" si="353"/>
        <v>283048.09999999998</v>
      </c>
      <c r="I113" s="52">
        <f t="shared" si="354"/>
        <v>98.795148342059321</v>
      </c>
      <c r="J113" s="52">
        <v>0</v>
      </c>
      <c r="K113" s="52">
        <f>66654.8+70623.3+26744+14996+2320+6960+9520+1280+1280+19090+4160+13440+35660+6960+3360</f>
        <v>283048.09999999998</v>
      </c>
      <c r="L113" s="52">
        <f t="shared" si="355"/>
        <v>0</v>
      </c>
      <c r="M113" s="52">
        <f t="shared" si="356"/>
        <v>0</v>
      </c>
      <c r="N113" s="52">
        <v>0</v>
      </c>
      <c r="O113" s="52">
        <v>0</v>
      </c>
      <c r="P113" s="52">
        <f t="shared" si="357"/>
        <v>3451.9000000000233</v>
      </c>
      <c r="Q113" s="52">
        <f t="shared" si="358"/>
        <v>1.2048516579406714</v>
      </c>
      <c r="R113" s="52">
        <f t="shared" si="359"/>
        <v>0</v>
      </c>
      <c r="S113" s="52">
        <f t="shared" si="360"/>
        <v>3451.9000000000233</v>
      </c>
    </row>
    <row r="114" spans="1:19" ht="31.5" customHeight="1" x14ac:dyDescent="0.5">
      <c r="A114" s="9">
        <v>95</v>
      </c>
      <c r="B114" s="11" t="str">
        <f>[19]รายการสรุป!$E$9</f>
        <v>ปรับปรุงประตูระบายน้ำเจ้าวรการบัญชาโครงการส่งน้ำและบำรุงรักษาแม่ลาว อ.พาน จ.เชียงราย</v>
      </c>
      <c r="C114" s="54" t="str">
        <f>[19]รายการสรุป!$I$9</f>
        <v>0700349052420034</v>
      </c>
      <c r="D114" s="55" t="s">
        <v>45</v>
      </c>
      <c r="E114" s="52">
        <f t="shared" si="352"/>
        <v>1404000</v>
      </c>
      <c r="F114" s="52">
        <v>0</v>
      </c>
      <c r="G114" s="53">
        <f>[19]รายการสรุป!$J$9</f>
        <v>1404000</v>
      </c>
      <c r="H114" s="52">
        <f t="shared" si="353"/>
        <v>1099208.3500000001</v>
      </c>
      <c r="I114" s="52">
        <f t="shared" si="354"/>
        <v>78.291193019943037</v>
      </c>
      <c r="J114" s="52">
        <v>0</v>
      </c>
      <c r="K114" s="52">
        <f>14074+14978+16076+218781+31343.15+11779.15+14800+212375.35+1280+12080+13280+3600-793.7+6720+61813.6+34914.8+18000+46417+9280+1040+6240+64623.4+36502.2+7520+44966+74640+11600+11868.4+36210+53680+9280+240</f>
        <v>1099208.3500000001</v>
      </c>
      <c r="L114" s="52">
        <f t="shared" si="355"/>
        <v>0</v>
      </c>
      <c r="M114" s="52">
        <f t="shared" si="356"/>
        <v>0</v>
      </c>
      <c r="N114" s="52">
        <v>0</v>
      </c>
      <c r="O114" s="52">
        <v>0</v>
      </c>
      <c r="P114" s="52">
        <f t="shared" si="357"/>
        <v>304791.64999999991</v>
      </c>
      <c r="Q114" s="52">
        <f t="shared" si="358"/>
        <v>21.708806980056973</v>
      </c>
      <c r="R114" s="52">
        <f t="shared" si="359"/>
        <v>0</v>
      </c>
      <c r="S114" s="52">
        <f t="shared" si="360"/>
        <v>304791.64999999991</v>
      </c>
    </row>
    <row r="115" spans="1:19" ht="31.5" customHeight="1" x14ac:dyDescent="0.5">
      <c r="A115" s="9"/>
      <c r="B115" s="18" t="s">
        <v>27</v>
      </c>
      <c r="C115" s="18"/>
      <c r="D115" s="24"/>
      <c r="E115" s="19">
        <f>F115+G115</f>
        <v>733500</v>
      </c>
      <c r="F115" s="19">
        <f>SUM(F116:F117)</f>
        <v>0</v>
      </c>
      <c r="G115" s="19">
        <f>SUM(G116:G117)</f>
        <v>733500</v>
      </c>
      <c r="H115" s="19">
        <f>J115+K115</f>
        <v>611878.10000000009</v>
      </c>
      <c r="I115" s="19">
        <f>H115*100/E115</f>
        <v>83.418963871847311</v>
      </c>
      <c r="J115" s="19">
        <f>SUM(J116:J117)</f>
        <v>0</v>
      </c>
      <c r="K115" s="19">
        <f>SUM(K116:K117)</f>
        <v>611878.10000000009</v>
      </c>
      <c r="L115" s="19">
        <f>N115+O115</f>
        <v>0</v>
      </c>
      <c r="M115" s="19">
        <f>L115*100/E115</f>
        <v>0</v>
      </c>
      <c r="N115" s="19">
        <f>SUM(N116:N117)</f>
        <v>0</v>
      </c>
      <c r="O115" s="19">
        <f>SUM(O116:O117)</f>
        <v>0</v>
      </c>
      <c r="P115" s="19">
        <f t="shared" si="357"/>
        <v>121621.89999999991</v>
      </c>
      <c r="Q115" s="19">
        <f>P115*100/E115</f>
        <v>16.581036128152679</v>
      </c>
      <c r="R115" s="19">
        <f t="shared" si="359"/>
        <v>0</v>
      </c>
      <c r="S115" s="19">
        <f t="shared" si="360"/>
        <v>121621.89999999991</v>
      </c>
    </row>
    <row r="116" spans="1:19" ht="45.75" customHeight="1" x14ac:dyDescent="0.5">
      <c r="A116" s="9">
        <v>96</v>
      </c>
      <c r="B116" s="11" t="str">
        <f>[21]รายการสรุป!$E$5</f>
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</c>
      <c r="C116" s="54" t="str">
        <f>[21]รายการสรุป!$I$5</f>
        <v>0700349052410193</v>
      </c>
      <c r="D116" s="55" t="s">
        <v>45</v>
      </c>
      <c r="E116" s="52">
        <f t="shared" ref="E116" si="361">F116+G116</f>
        <v>264800</v>
      </c>
      <c r="F116" s="52">
        <v>0</v>
      </c>
      <c r="G116" s="53">
        <f>[21]รายการสรุป!$J$5</f>
        <v>264800</v>
      </c>
      <c r="H116" s="52">
        <f t="shared" ref="H116" si="362">J116+K116</f>
        <v>201910.55</v>
      </c>
      <c r="I116" s="52">
        <f t="shared" ref="I116" si="363">H116*100/E116</f>
        <v>76.250207703927487</v>
      </c>
      <c r="J116" s="52">
        <v>0</v>
      </c>
      <c r="K116" s="52">
        <f>75666.5+82874.5+9125.55+34244</f>
        <v>201910.55</v>
      </c>
      <c r="L116" s="52">
        <f t="shared" ref="L116" si="364">N116+O116</f>
        <v>0</v>
      </c>
      <c r="M116" s="52">
        <f t="shared" ref="M116" si="365">L116*100/E116</f>
        <v>0</v>
      </c>
      <c r="N116" s="52">
        <v>0</v>
      </c>
      <c r="O116" s="52">
        <v>0</v>
      </c>
      <c r="P116" s="52">
        <f t="shared" ref="P116" si="366">R116+S116</f>
        <v>62889.450000000012</v>
      </c>
      <c r="Q116" s="52">
        <f t="shared" ref="Q116" si="367">P116*100/E116</f>
        <v>23.74979229607251</v>
      </c>
      <c r="R116" s="52">
        <f t="shared" ref="R116" si="368">F116-J116-N116</f>
        <v>0</v>
      </c>
      <c r="S116" s="52">
        <f t="shared" ref="S116" si="369">G116-K116-O116</f>
        <v>62889.450000000012</v>
      </c>
    </row>
    <row r="117" spans="1:19" ht="31.5" customHeight="1" x14ac:dyDescent="0.5">
      <c r="A117" s="9">
        <v>97</v>
      </c>
      <c r="B117" s="11" t="str">
        <f>[21]รายการสรุป!$E$6</f>
        <v>ปรับปรุงระบบระบายน้ำบ้านนาเจริญพร้อมอาคารประกอบ ต.อ่างทอง อ.เชียงคำ จ.พะเยา</v>
      </c>
      <c r="C117" s="54" t="str">
        <f>[21]รายการสรุป!$I$6</f>
        <v>0700349052420037</v>
      </c>
      <c r="D117" s="55" t="s">
        <v>45</v>
      </c>
      <c r="E117" s="52">
        <f t="shared" ref="E117" si="370">F117+G117</f>
        <v>468700</v>
      </c>
      <c r="F117" s="52">
        <v>0</v>
      </c>
      <c r="G117" s="53">
        <f>[21]รายการสรุป!$J$6</f>
        <v>468700</v>
      </c>
      <c r="H117" s="52">
        <f t="shared" ref="H117" si="371">J117+K117</f>
        <v>409967.55000000005</v>
      </c>
      <c r="I117" s="52">
        <f t="shared" ref="I117" si="372">H117*100/E117</f>
        <v>87.469074034563704</v>
      </c>
      <c r="J117" s="52">
        <v>0</v>
      </c>
      <c r="K117" s="52">
        <f>24598.7+23806+20000+20000+14980+19993+30000+2560+155129.35+2560+19950+3040+4000+49350.5+20000</f>
        <v>409967.55000000005</v>
      </c>
      <c r="L117" s="52">
        <f t="shared" ref="L117" si="373">N117+O117</f>
        <v>0</v>
      </c>
      <c r="M117" s="52">
        <f t="shared" ref="M117" si="374">L117*100/E117</f>
        <v>0</v>
      </c>
      <c r="N117" s="52">
        <v>0</v>
      </c>
      <c r="O117" s="52">
        <v>0</v>
      </c>
      <c r="P117" s="52">
        <f t="shared" ref="P117:P118" si="375">R117+S117</f>
        <v>58732.449999999953</v>
      </c>
      <c r="Q117" s="52">
        <f t="shared" ref="Q117" si="376">P117*100/E117</f>
        <v>12.530925965436303</v>
      </c>
      <c r="R117" s="52">
        <f t="shared" ref="R117:R118" si="377">F117-J117-N117</f>
        <v>0</v>
      </c>
      <c r="S117" s="52">
        <f t="shared" ref="S117:S118" si="378">G117-K117-O117</f>
        <v>58732.449999999953</v>
      </c>
    </row>
    <row r="118" spans="1:19" ht="31.5" customHeight="1" x14ac:dyDescent="0.5">
      <c r="A118" s="9"/>
      <c r="B118" s="18" t="s">
        <v>59</v>
      </c>
      <c r="C118" s="18"/>
      <c r="D118" s="24"/>
      <c r="E118" s="19">
        <f>F118+G118</f>
        <v>802000</v>
      </c>
      <c r="F118" s="19">
        <f>SUM(F119)</f>
        <v>0</v>
      </c>
      <c r="G118" s="19">
        <f>SUM(G119:G120)</f>
        <v>802000</v>
      </c>
      <c r="H118" s="19">
        <f>J118+K118</f>
        <v>692311.95</v>
      </c>
      <c r="I118" s="19">
        <f>H118*100/E118</f>
        <v>86.323185785536154</v>
      </c>
      <c r="J118" s="19">
        <f>SUM(J119)</f>
        <v>0</v>
      </c>
      <c r="K118" s="19">
        <f>SUM(K119:K120)</f>
        <v>692311.95</v>
      </c>
      <c r="L118" s="19">
        <f>N118+O118</f>
        <v>0</v>
      </c>
      <c r="M118" s="19">
        <f>L118*100/E118</f>
        <v>0</v>
      </c>
      <c r="N118" s="19">
        <f>SUM(N119)</f>
        <v>0</v>
      </c>
      <c r="O118" s="19">
        <f>SUM(O119:O120)</f>
        <v>0</v>
      </c>
      <c r="P118" s="19">
        <f t="shared" si="375"/>
        <v>109688.05000000005</v>
      </c>
      <c r="Q118" s="19">
        <f>P118*100/E118</f>
        <v>13.676814214463844</v>
      </c>
      <c r="R118" s="19">
        <f t="shared" si="377"/>
        <v>0</v>
      </c>
      <c r="S118" s="19">
        <f t="shared" si="378"/>
        <v>109688.05000000005</v>
      </c>
    </row>
    <row r="119" spans="1:19" ht="31.5" customHeight="1" x14ac:dyDescent="0.5">
      <c r="A119" s="9">
        <v>98</v>
      </c>
      <c r="B119" s="11" t="str">
        <f>[22]รายการสรุป!$E$5</f>
        <v>ปรับปรุงระบบส่งน้ำฝั่งซ้ายอ่างเก็บน้ำน้ำพงและอาคารประกอบ(ขนาดกลาง) ต.พงษ์ อ.สันติสุข จ.น่าน</v>
      </c>
      <c r="C119" s="54" t="str">
        <f>[22]รายการสรุป!$I$5</f>
        <v>0700349052420164</v>
      </c>
      <c r="D119" s="55" t="s">
        <v>45</v>
      </c>
      <c r="E119" s="52">
        <f t="shared" ref="E119" si="379">F119+G119</f>
        <v>408000</v>
      </c>
      <c r="F119" s="52">
        <v>0</v>
      </c>
      <c r="G119" s="53">
        <f>[22]รายการสรุป!$J$5</f>
        <v>408000</v>
      </c>
      <c r="H119" s="52">
        <f t="shared" ref="H119" si="380">J119+K119</f>
        <v>407934</v>
      </c>
      <c r="I119" s="52">
        <f t="shared" ref="I119" si="381">H119*100/E119</f>
        <v>99.983823529411765</v>
      </c>
      <c r="J119" s="52">
        <v>0</v>
      </c>
      <c r="K119" s="52">
        <f>41659.25+4640+1280+26880+2320+45627.75+1372+43071+41500+23200+13120+15520+9280+9360+11357+6960+2080+9280+69983+15760+2080+11604</f>
        <v>407934</v>
      </c>
      <c r="L119" s="52">
        <f t="shared" ref="L119" si="382">N119+O119</f>
        <v>0</v>
      </c>
      <c r="M119" s="52">
        <f t="shared" ref="M119" si="383">L119*100/E119</f>
        <v>0</v>
      </c>
      <c r="N119" s="52">
        <v>0</v>
      </c>
      <c r="O119" s="52">
        <v>0</v>
      </c>
      <c r="P119" s="52">
        <f t="shared" ref="P119" si="384">R119+S119</f>
        <v>66</v>
      </c>
      <c r="Q119" s="52">
        <f t="shared" ref="Q119" si="385">P119*100/E119</f>
        <v>1.6176470588235296E-2</v>
      </c>
      <c r="R119" s="52">
        <f t="shared" ref="R119" si="386">F119-J119-N119</f>
        <v>0</v>
      </c>
      <c r="S119" s="52">
        <f t="shared" ref="S119" si="387">G119-K119-O119</f>
        <v>66</v>
      </c>
    </row>
    <row r="120" spans="1:19" ht="31.5" customHeight="1" x14ac:dyDescent="0.5">
      <c r="A120" s="9">
        <v>99</v>
      </c>
      <c r="B120" s="11" t="str">
        <f>[23]รายการสรุป!$E$6</f>
        <v>ปรับปรุงหัวงานฝายดอนแก้วและอาคารประกอบ ต.พระธาตุ อ.เชียงกลาง จ.น่าน</v>
      </c>
      <c r="C120" s="54" t="str">
        <f>[23]รายการสรุป!$I$6</f>
        <v>0700349052420035</v>
      </c>
      <c r="D120" s="55" t="s">
        <v>61</v>
      </c>
      <c r="E120" s="52">
        <f t="shared" ref="E120" si="388">F120+G120</f>
        <v>394000</v>
      </c>
      <c r="F120" s="52">
        <v>0</v>
      </c>
      <c r="G120" s="53">
        <f>[23]รายการสรุป!$J$6</f>
        <v>394000</v>
      </c>
      <c r="H120" s="52">
        <f t="shared" ref="H120" si="389">J120+K120</f>
        <v>284377.95</v>
      </c>
      <c r="I120" s="52">
        <f t="shared" ref="I120" si="390">H120*100/E120</f>
        <v>72.177144670050765</v>
      </c>
      <c r="J120" s="52">
        <v>0</v>
      </c>
      <c r="K120" s="52">
        <f>86095.45+47207+20000+1040+49350.5+7849+30890+30000+11466+480</f>
        <v>284377.95</v>
      </c>
      <c r="L120" s="52">
        <f t="shared" ref="L120" si="391">N120+O120</f>
        <v>0</v>
      </c>
      <c r="M120" s="52">
        <f t="shared" ref="M120" si="392">L120*100/E120</f>
        <v>0</v>
      </c>
      <c r="N120" s="52">
        <v>0</v>
      </c>
      <c r="O120" s="52">
        <v>0</v>
      </c>
      <c r="P120" s="52">
        <f t="shared" ref="P120" si="393">R120+S120</f>
        <v>109622.04999999999</v>
      </c>
      <c r="Q120" s="52">
        <f t="shared" ref="Q120" si="394">P120*100/E120</f>
        <v>27.822855329949235</v>
      </c>
      <c r="R120" s="52">
        <f t="shared" ref="R120" si="395">F120-J120-N120</f>
        <v>0</v>
      </c>
      <c r="S120" s="52">
        <f t="shared" ref="S120" si="396">G120-K120-O120</f>
        <v>109622.04999999999</v>
      </c>
    </row>
    <row r="121" spans="1:19" ht="31.5" customHeight="1" x14ac:dyDescent="0.5">
      <c r="A121" s="9"/>
      <c r="B121" s="18" t="s">
        <v>41</v>
      </c>
      <c r="C121" s="18"/>
      <c r="D121" s="24"/>
      <c r="E121" s="19">
        <f>F121+G121</f>
        <v>12163918</v>
      </c>
      <c r="F121" s="19">
        <f>SUM(F122:F124)</f>
        <v>0</v>
      </c>
      <c r="G121" s="19">
        <f>SUM(G122:G125)</f>
        <v>12163918</v>
      </c>
      <c r="H121" s="19">
        <f>J121+K121</f>
        <v>10156817.850000001</v>
      </c>
      <c r="I121" s="19">
        <f>H121*100/E121</f>
        <v>83.499558694821857</v>
      </c>
      <c r="J121" s="19">
        <f>SUM(J122:J124)</f>
        <v>0</v>
      </c>
      <c r="K121" s="19">
        <f>SUM(K122:K125)</f>
        <v>10156817.850000001</v>
      </c>
      <c r="L121" s="19">
        <f>N121+O121</f>
        <v>0</v>
      </c>
      <c r="M121" s="19">
        <f>L121*100/E121</f>
        <v>0</v>
      </c>
      <c r="N121" s="19">
        <f>SUM(N122:N124)</f>
        <v>0</v>
      </c>
      <c r="O121" s="19">
        <f>SUM(O122:O124)</f>
        <v>0</v>
      </c>
      <c r="P121" s="19">
        <f t="shared" si="276"/>
        <v>2007100.1499999985</v>
      </c>
      <c r="Q121" s="19">
        <f>P121*100/E121</f>
        <v>16.500441305178139</v>
      </c>
      <c r="R121" s="19">
        <f t="shared" si="278"/>
        <v>0</v>
      </c>
      <c r="S121" s="19">
        <f t="shared" si="279"/>
        <v>2007100.1499999985</v>
      </c>
    </row>
    <row r="122" spans="1:19" ht="31.5" customHeight="1" x14ac:dyDescent="0.5">
      <c r="A122" s="9">
        <v>100</v>
      </c>
      <c r="B122" s="56" t="str">
        <f>[24]รายการสรุป!$E$5</f>
        <v>ค่าศึกษา</v>
      </c>
      <c r="C122" s="54" t="str">
        <f>[24]รายการสรุป!$I$5</f>
        <v>0700349052420002</v>
      </c>
      <c r="D122" s="55" t="s">
        <v>42</v>
      </c>
      <c r="E122" s="52">
        <f t="shared" ref="E122" si="397">F122+G122</f>
        <v>3080000</v>
      </c>
      <c r="F122" s="52">
        <v>0</v>
      </c>
      <c r="G122" s="53">
        <f>[25]รายการสรุป!$J$5</f>
        <v>3080000</v>
      </c>
      <c r="H122" s="52">
        <f t="shared" ref="H122" si="398">J122+K122</f>
        <v>2333155.4899999998</v>
      </c>
      <c r="I122" s="52">
        <f t="shared" ref="I122" si="399">H122*100/E122</f>
        <v>75.751801623376608</v>
      </c>
      <c r="J122" s="52">
        <v>0</v>
      </c>
      <c r="K122" s="52">
        <f>6960+34758+35627.5+7560+16240+19900+23854.8+2560+34007.25+79994+12016+57130+35200+27191.5+12769+2490+9280+18560+99918+36453.05+15836+27680+17738+32026+7040.46+61120+40323+18560+38206+29980+41680+25197.7+18560+41659.25+25116+24660+11600+24876+28182.4+39780+18560+99979+43643.5+42560+24070.35+38100+16240+31699.11+7560+4200+36502.2+1280+22360+99974+6960+21000+19336.8+35370+3120+56791.3+30606+27855+10300+49936.8+4000+15979.8+13020+18560+75406+2349.72+10240+9125.55+27376.65+30326.1+29998+22031+17062+7200+49336.8+4340+5600+20000+15742+5120+9889.9+9280+40878</f>
        <v>2333155.4899999998</v>
      </c>
      <c r="L122" s="52">
        <f t="shared" ref="L122" si="400">N122+O122</f>
        <v>0</v>
      </c>
      <c r="M122" s="52">
        <f t="shared" ref="M122" si="401">L122*100/E122</f>
        <v>0</v>
      </c>
      <c r="N122" s="52">
        <v>0</v>
      </c>
      <c r="O122" s="52">
        <v>0</v>
      </c>
      <c r="P122" s="52">
        <f t="shared" ref="P122" si="402">R122+S122</f>
        <v>746844.51000000024</v>
      </c>
      <c r="Q122" s="52">
        <f t="shared" ref="Q122" si="403">P122*100/E122</f>
        <v>24.248198376623385</v>
      </c>
      <c r="R122" s="52">
        <f t="shared" ref="R122" si="404">F122-J122-N122</f>
        <v>0</v>
      </c>
      <c r="S122" s="52">
        <f t="shared" ref="S122" si="405">G122-K122-O122</f>
        <v>746844.51000000024</v>
      </c>
    </row>
    <row r="123" spans="1:19" ht="31.5" customHeight="1" x14ac:dyDescent="0.5">
      <c r="A123" s="9">
        <v>101</v>
      </c>
      <c r="B123" s="56" t="str">
        <f>[24]รายการสรุป!$E$6</f>
        <v>ค่าสำรวจ</v>
      </c>
      <c r="C123" s="54" t="str">
        <f>[24]รายการสรุป!$I$6</f>
        <v>0700349052420002</v>
      </c>
      <c r="D123" s="55" t="s">
        <v>42</v>
      </c>
      <c r="E123" s="52">
        <f t="shared" ref="E123:E124" si="406">F123+G123</f>
        <v>5524000</v>
      </c>
      <c r="F123" s="52">
        <v>0</v>
      </c>
      <c r="G123" s="53">
        <f>[25]รายการสรุป!$J$6</f>
        <v>5524000</v>
      </c>
      <c r="H123" s="52">
        <f t="shared" ref="H123:H125" si="407">J123+K123</f>
        <v>4568739.9600000009</v>
      </c>
      <c r="I123" s="52">
        <f t="shared" ref="I123:I124" si="408">H123*100/E123</f>
        <v>82.707095582910952</v>
      </c>
      <c r="J123" s="52">
        <v>0</v>
      </c>
      <c r="K123" s="52">
        <f>3360+6815+37012+325100+4640+23520+13440+25420+4160+307143.2+11550+13975.01+7777+59384+35520+18468+324306.3+33520+49815+57016+100492.8+11318+7614+22986+295142.15+18366+14174+130967.6+27470+3746+16522+309524.3+9445+5465+60828+315974.45+31279+17600+5882+4288+28800+3870+9241+330356.6+3840+27205+84870+22872+52826+14557+285158.2+14342+50484+74467.7+14360+81570+22780+44620+9752+65675+325992.25+15600+4400+2396+114463.4+22800+46896+13440+10080</f>
        <v>4568739.9600000009</v>
      </c>
      <c r="L123" s="52">
        <f t="shared" ref="L123:L124" si="409">N123+O123</f>
        <v>0</v>
      </c>
      <c r="M123" s="52">
        <f t="shared" ref="M123:M124" si="410">L123*100/E123</f>
        <v>0</v>
      </c>
      <c r="N123" s="52">
        <v>0</v>
      </c>
      <c r="O123" s="52">
        <v>0</v>
      </c>
      <c r="P123" s="52">
        <f t="shared" ref="P123:P126" si="411">R123+S123</f>
        <v>955260.03999999911</v>
      </c>
      <c r="Q123" s="52">
        <f t="shared" ref="Q123:Q124" si="412">P123*100/E123</f>
        <v>17.292904417089051</v>
      </c>
      <c r="R123" s="52">
        <f t="shared" ref="R123:R126" si="413">F123-J123-N123</f>
        <v>0</v>
      </c>
      <c r="S123" s="52">
        <f t="shared" ref="S123:S126" si="414">G123-K123-O123</f>
        <v>955260.03999999911</v>
      </c>
    </row>
    <row r="124" spans="1:19" ht="31.5" customHeight="1" x14ac:dyDescent="0.5">
      <c r="A124" s="9">
        <v>102</v>
      </c>
      <c r="B124" s="56" t="str">
        <f>[24]รายการสรุป!$E$7</f>
        <v>ค่าออกแบบ</v>
      </c>
      <c r="C124" s="54" t="str">
        <f>[24]รายการสรุป!$I$7</f>
        <v>0700349052420002</v>
      </c>
      <c r="D124" s="55" t="s">
        <v>42</v>
      </c>
      <c r="E124" s="52">
        <f t="shared" si="406"/>
        <v>3085000</v>
      </c>
      <c r="F124" s="52">
        <v>0</v>
      </c>
      <c r="G124" s="53">
        <f>[25]รายการสรุป!$J$7</f>
        <v>3085000</v>
      </c>
      <c r="H124" s="52">
        <f t="shared" si="407"/>
        <v>2780004.3999999994</v>
      </c>
      <c r="I124" s="52">
        <f t="shared" si="408"/>
        <v>90.113594813614242</v>
      </c>
      <c r="J124" s="52">
        <v>0</v>
      </c>
      <c r="K124" s="52">
        <f>15104+6960+28526+8728.7+69829.6+4640+4640+39917.9+49980+74986.65+42502+3022.8+200700+45342+17994+16392+61520+1280+1695+81733.1+55528+47120+51387.6+14720+13440+2320+71415+9280+44040+51387.6+32480+9280+104400+18080+74986.65+25129+23200+48364.8+36840+3022.8+31836+90450+78558.3+35080+41185.65+27720+17040+76438+15192+11600+82129.95+7200+39060+51009.75+3022.8+46480+11600+2320+68240.2+20160+86751.9+38480+4640+10080+9125.55+73004.4+150750+10080+93974.7+20160+4640+10080</f>
        <v>2780004.3999999994</v>
      </c>
      <c r="L124" s="52">
        <f t="shared" si="409"/>
        <v>0</v>
      </c>
      <c r="M124" s="52">
        <f t="shared" si="410"/>
        <v>0</v>
      </c>
      <c r="N124" s="52">
        <v>0</v>
      </c>
      <c r="O124" s="52">
        <v>0</v>
      </c>
      <c r="P124" s="52">
        <f t="shared" si="411"/>
        <v>304995.60000000056</v>
      </c>
      <c r="Q124" s="52">
        <f t="shared" si="412"/>
        <v>9.8864051863857547</v>
      </c>
      <c r="R124" s="52">
        <f t="shared" si="413"/>
        <v>0</v>
      </c>
      <c r="S124" s="52">
        <f t="shared" si="414"/>
        <v>304995.60000000056</v>
      </c>
    </row>
    <row r="125" spans="1:19" ht="31.5" customHeight="1" x14ac:dyDescent="0.5">
      <c r="A125" s="9">
        <v>103</v>
      </c>
      <c r="B125" s="56" t="str">
        <f>[26]รายการสรุป!$E$5</f>
        <v>โครงการปรับปรุงโครงข่ายหมุดหลักฐานทางราบและทางดิ่งในพื้นที่ลุ่มน้ำเจ้าพระยา ระยะที่ 2 และลุ่มน้ำยม  กทม.</v>
      </c>
      <c r="C125" s="54" t="str">
        <f>[26]รายการสรุป!$I$5</f>
        <v>0700349052420020</v>
      </c>
      <c r="D125" s="55" t="s">
        <v>65</v>
      </c>
      <c r="E125" s="52">
        <f t="shared" ref="E125" si="415">F125+G125</f>
        <v>474918</v>
      </c>
      <c r="F125" s="52">
        <v>0</v>
      </c>
      <c r="G125" s="53">
        <f>[26]รายการสรุป!$J$5</f>
        <v>474918</v>
      </c>
      <c r="H125" s="52">
        <f t="shared" si="407"/>
        <v>474918</v>
      </c>
      <c r="I125" s="52">
        <f t="shared" ref="I125" si="416">H125*100/E125</f>
        <v>100</v>
      </c>
      <c r="J125" s="52">
        <v>0</v>
      </c>
      <c r="K125" s="52">
        <f>208875+98241+141540+20700+5562</f>
        <v>474918</v>
      </c>
      <c r="L125" s="52">
        <f t="shared" ref="L125" si="417">N125+O125</f>
        <v>0</v>
      </c>
      <c r="M125" s="52">
        <f t="shared" ref="M125" si="418">L125*100/E125</f>
        <v>0</v>
      </c>
      <c r="N125" s="52">
        <v>0</v>
      </c>
      <c r="O125" s="52">
        <v>0</v>
      </c>
      <c r="P125" s="52">
        <f t="shared" ref="P125" si="419">R125+S125</f>
        <v>0</v>
      </c>
      <c r="Q125" s="52">
        <f t="shared" ref="Q125" si="420">P125*100/E125</f>
        <v>0</v>
      </c>
      <c r="R125" s="52">
        <f t="shared" ref="R125" si="421">F125-J125-N125</f>
        <v>0</v>
      </c>
      <c r="S125" s="52">
        <f t="shared" ref="S125" si="422">G125-K125-O125</f>
        <v>0</v>
      </c>
    </row>
    <row r="126" spans="1:19" ht="31.5" customHeight="1" x14ac:dyDescent="0.5">
      <c r="A126" s="9"/>
      <c r="B126" s="18" t="s">
        <v>55</v>
      </c>
      <c r="C126" s="18"/>
      <c r="D126" s="24"/>
      <c r="E126" s="19">
        <f>F126+G126</f>
        <v>209500</v>
      </c>
      <c r="F126" s="19">
        <f>SUM(F127:F127)</f>
        <v>0</v>
      </c>
      <c r="G126" s="19">
        <f>SUM(G127:G127)</f>
        <v>209500</v>
      </c>
      <c r="H126" s="19">
        <f>J126+K126</f>
        <v>175342</v>
      </c>
      <c r="I126" s="19">
        <f>H126*100/E126</f>
        <v>83.695465393794748</v>
      </c>
      <c r="J126" s="19">
        <f>SUM(J127:J127)</f>
        <v>0</v>
      </c>
      <c r="K126" s="19">
        <f>SUM(K127:K127)</f>
        <v>175342</v>
      </c>
      <c r="L126" s="19">
        <f>N126+O126</f>
        <v>0</v>
      </c>
      <c r="M126" s="19">
        <f>L126*100/E126</f>
        <v>0</v>
      </c>
      <c r="N126" s="19">
        <f>SUM(N127:N127)</f>
        <v>0</v>
      </c>
      <c r="O126" s="19">
        <f>SUM(O127:O127)</f>
        <v>0</v>
      </c>
      <c r="P126" s="19">
        <f t="shared" si="411"/>
        <v>34158</v>
      </c>
      <c r="Q126" s="19">
        <f>P126*100/E126</f>
        <v>16.304534606205252</v>
      </c>
      <c r="R126" s="19">
        <f t="shared" si="413"/>
        <v>0</v>
      </c>
      <c r="S126" s="19">
        <f t="shared" si="414"/>
        <v>34158</v>
      </c>
    </row>
    <row r="127" spans="1:19" ht="31.5" customHeight="1" x14ac:dyDescent="0.5">
      <c r="A127" s="9">
        <v>104</v>
      </c>
      <c r="B127" s="57" t="str">
        <f>[27]รายการสรุป!$E$5</f>
        <v>โครงการติดตามผลกระทบแผ่นดินไหว 7 โครงการ กรุงเทพมหานคร</v>
      </c>
      <c r="C127" s="57" t="str">
        <f>[27]รายการสรุป!$I$5</f>
        <v>0700349052410004</v>
      </c>
      <c r="D127" s="55" t="s">
        <v>56</v>
      </c>
      <c r="E127" s="52">
        <f t="shared" ref="E127" si="423">F127+G127</f>
        <v>209500</v>
      </c>
      <c r="F127" s="52">
        <v>0</v>
      </c>
      <c r="G127" s="53">
        <f>[27]รายการสรุป!$J$5</f>
        <v>209500</v>
      </c>
      <c r="H127" s="52">
        <f t="shared" ref="H127" si="424">J127+K127</f>
        <v>175342</v>
      </c>
      <c r="I127" s="52">
        <f t="shared" ref="I127" si="425">H127*100/E127</f>
        <v>83.695465393794748</v>
      </c>
      <c r="J127" s="52">
        <v>0</v>
      </c>
      <c r="K127" s="52">
        <f>57428.7+2480+16663.7+6960+17457.4+3840+18251.1+3360+15870+4640+18251.1+1130+9010</f>
        <v>175342</v>
      </c>
      <c r="L127" s="52">
        <f t="shared" ref="L127" si="426">N127+O127</f>
        <v>0</v>
      </c>
      <c r="M127" s="52">
        <f t="shared" ref="M127" si="427">L127*100/E127</f>
        <v>0</v>
      </c>
      <c r="N127" s="52">
        <v>0</v>
      </c>
      <c r="O127" s="52">
        <v>0</v>
      </c>
      <c r="P127" s="52">
        <f t="shared" ref="P127:P128" si="428">R127+S127</f>
        <v>34158</v>
      </c>
      <c r="Q127" s="52">
        <f t="shared" ref="Q127" si="429">P127*100/E127</f>
        <v>16.304534606205252</v>
      </c>
      <c r="R127" s="52">
        <f t="shared" ref="R127:R128" si="430">F127-J127-N127</f>
        <v>0</v>
      </c>
      <c r="S127" s="52">
        <f t="shared" ref="S127:S128" si="431">G127-K127-O127</f>
        <v>34158</v>
      </c>
    </row>
    <row r="128" spans="1:19" ht="26.25" customHeight="1" x14ac:dyDescent="0.5">
      <c r="A128" s="9"/>
      <c r="B128" s="18" t="s">
        <v>69</v>
      </c>
      <c r="C128" s="18"/>
      <c r="D128" s="24"/>
      <c r="E128" s="19">
        <f>F128+G128</f>
        <v>1774000</v>
      </c>
      <c r="F128" s="19">
        <f>SUM(F129:F131)</f>
        <v>0</v>
      </c>
      <c r="G128" s="19">
        <f>SUM(G129:G131)</f>
        <v>1774000</v>
      </c>
      <c r="H128" s="19">
        <f>J128+K128</f>
        <v>1253431.02</v>
      </c>
      <c r="I128" s="19">
        <f>H128*100/E128</f>
        <v>70.6556381059752</v>
      </c>
      <c r="J128" s="19">
        <f>SUM(J129:J131)</f>
        <v>0</v>
      </c>
      <c r="K128" s="19">
        <f>SUM(K129:K131)</f>
        <v>1253431.02</v>
      </c>
      <c r="L128" s="19">
        <f>N128+O128</f>
        <v>0</v>
      </c>
      <c r="M128" s="19">
        <f>L128*100/E128</f>
        <v>0</v>
      </c>
      <c r="N128" s="19">
        <f>SUM(N129:N129)</f>
        <v>0</v>
      </c>
      <c r="O128" s="19">
        <f>SUM(O129:O130)</f>
        <v>0</v>
      </c>
      <c r="P128" s="19">
        <f t="shared" si="428"/>
        <v>520568.98</v>
      </c>
      <c r="Q128" s="19">
        <f>P128*100/E128</f>
        <v>29.344361894024804</v>
      </c>
      <c r="R128" s="19">
        <f t="shared" si="430"/>
        <v>0</v>
      </c>
      <c r="S128" s="19">
        <f t="shared" si="431"/>
        <v>520568.98</v>
      </c>
    </row>
    <row r="129" spans="1:19" ht="31.5" customHeight="1" x14ac:dyDescent="0.5">
      <c r="A129" s="9">
        <v>105</v>
      </c>
      <c r="B129" s="57" t="str">
        <f>[28]รายการสรุป!$E$5</f>
        <v>ซ่อมแซมระบบไฟฟ้าเครื่องมือตรวจวัดพฤติกรรมเขื่อนพร้อมระบบส่งข้อมูลอัตโนมัติเขื่อนแม่ต๋ำ จ.พะเยา</v>
      </c>
      <c r="C129" s="57" t="str">
        <f>[29]รายการสรุป!$I$5</f>
        <v>0700349052410002</v>
      </c>
      <c r="D129" s="55" t="s">
        <v>70</v>
      </c>
      <c r="E129" s="52">
        <f t="shared" ref="E129" si="432">F129+G129</f>
        <v>1059000</v>
      </c>
      <c r="F129" s="52">
        <v>0</v>
      </c>
      <c r="G129" s="53">
        <f>[28]รายการสรุป!$J$5</f>
        <v>1059000</v>
      </c>
      <c r="H129" s="52">
        <f t="shared" ref="H129" si="433">J129+K129</f>
        <v>1037431.02</v>
      </c>
      <c r="I129" s="52">
        <f t="shared" ref="I129" si="434">H129*100/E129</f>
        <v>97.963269121813028</v>
      </c>
      <c r="J129" s="52">
        <v>0</v>
      </c>
      <c r="K129" s="52">
        <f>29926.65+15920+15870+21913.7+483460+39994.26+2560+6160+33400+98837+22284+103330.5+10800+6120+6745.81+63480+3320+12880+49869.1+1280+9280</f>
        <v>1037431.02</v>
      </c>
      <c r="L129" s="52">
        <f t="shared" ref="L129" si="435">N129+O129</f>
        <v>0</v>
      </c>
      <c r="M129" s="52">
        <f t="shared" ref="M129" si="436">L129*100/E129</f>
        <v>0</v>
      </c>
      <c r="N129" s="52">
        <v>0</v>
      </c>
      <c r="O129" s="52">
        <v>0</v>
      </c>
      <c r="P129" s="52">
        <f t="shared" ref="P129" si="437">R129+S129</f>
        <v>21568.979999999981</v>
      </c>
      <c r="Q129" s="52">
        <f t="shared" ref="Q129" si="438">P129*100/E129</f>
        <v>2.0367308781869671</v>
      </c>
      <c r="R129" s="52">
        <f t="shared" ref="R129" si="439">F129-J129-N129</f>
        <v>0</v>
      </c>
      <c r="S129" s="52">
        <f t="shared" ref="S129" si="440">G129-K129-O129</f>
        <v>21568.979999999981</v>
      </c>
    </row>
    <row r="130" spans="1:19" ht="31.5" customHeight="1" x14ac:dyDescent="0.5">
      <c r="A130" s="9">
        <v>106</v>
      </c>
      <c r="B130" s="57" t="str">
        <f>[29]รายการสรุป!$E$6</f>
        <v>ซ่อมแซมเครื่องมือตรวจวัดพฤติกรรมเขื่อนพร้อมระบบส่งข้อมูลอัตโนมัติเขื่อนกิ่วคอหมา อ.แจ้ห่ม จ.ลำปาง</v>
      </c>
      <c r="C130" s="57" t="str">
        <f>[29]รายการสรุป!$I$6</f>
        <v>0700349052410002</v>
      </c>
      <c r="D130" s="55" t="s">
        <v>75</v>
      </c>
      <c r="E130" s="52">
        <f t="shared" ref="E130" si="441">F130+G130</f>
        <v>216000</v>
      </c>
      <c r="F130" s="52">
        <v>0</v>
      </c>
      <c r="G130" s="53">
        <f>[29]รายการสรุป!$J$6</f>
        <v>216000</v>
      </c>
      <c r="H130" s="52">
        <f t="shared" ref="H130" si="442">J130+K130</f>
        <v>216000</v>
      </c>
      <c r="I130" s="52">
        <f t="shared" ref="I130" si="443">H130*100/E130</f>
        <v>100</v>
      </c>
      <c r="J130" s="52">
        <v>0</v>
      </c>
      <c r="K130" s="52">
        <f>216000</f>
        <v>216000</v>
      </c>
      <c r="L130" s="52">
        <f t="shared" ref="L130" si="444">N130+O130</f>
        <v>0</v>
      </c>
      <c r="M130" s="52">
        <f t="shared" ref="M130" si="445">L130*100/E130</f>
        <v>0</v>
      </c>
      <c r="N130" s="52">
        <v>0</v>
      </c>
      <c r="O130" s="52">
        <v>0</v>
      </c>
      <c r="P130" s="52">
        <f t="shared" ref="P130" si="446">R130+S130</f>
        <v>0</v>
      </c>
      <c r="Q130" s="52">
        <f t="shared" ref="Q130" si="447">P130*100/E130</f>
        <v>0</v>
      </c>
      <c r="R130" s="52">
        <f t="shared" ref="R130" si="448">F130-J130-N130</f>
        <v>0</v>
      </c>
      <c r="S130" s="52">
        <f t="shared" ref="S130" si="449">G130-K130-O130</f>
        <v>0</v>
      </c>
    </row>
    <row r="131" spans="1:19" ht="31.5" customHeight="1" x14ac:dyDescent="0.5">
      <c r="A131" s="9">
        <v>107</v>
      </c>
      <c r="B131" s="57" t="str">
        <f>[29]รายการสรุป!$E$7</f>
        <v>ซ่อมเครื่องมือตรวจวัดพฤติกรรมเขื่อนทำนบดินปิดช่องเขาต่ำเขื่อนกิ่วคอหมา อ.แจ้ห่ม จ.ลำปาง</v>
      </c>
      <c r="C131" s="57" t="str">
        <f>[29]รายการสรุป!$I$7</f>
        <v>0700349052410002</v>
      </c>
      <c r="D131" s="55" t="s">
        <v>83</v>
      </c>
      <c r="E131" s="52">
        <f t="shared" ref="E131" si="450">F131+G131</f>
        <v>499000</v>
      </c>
      <c r="F131" s="52">
        <v>0</v>
      </c>
      <c r="G131" s="53">
        <f>[29]รายการสรุป!$J$7</f>
        <v>499000</v>
      </c>
      <c r="H131" s="52">
        <f t="shared" ref="H131" si="451">J131+K131</f>
        <v>0</v>
      </c>
      <c r="I131" s="52">
        <f t="shared" ref="I131" si="452">H131*100/E131</f>
        <v>0</v>
      </c>
      <c r="J131" s="52">
        <v>0</v>
      </c>
      <c r="K131" s="52">
        <v>0</v>
      </c>
      <c r="L131" s="52">
        <f t="shared" ref="L131" si="453">N131+O131</f>
        <v>0</v>
      </c>
      <c r="M131" s="52">
        <f t="shared" ref="M131" si="454">L131*100/E131</f>
        <v>0</v>
      </c>
      <c r="N131" s="52">
        <v>0</v>
      </c>
      <c r="O131" s="52">
        <v>0</v>
      </c>
      <c r="P131" s="52">
        <f t="shared" ref="P131:P132" si="455">R131+S131</f>
        <v>499000</v>
      </c>
      <c r="Q131" s="52">
        <f t="shared" ref="Q131" si="456">P131*100/E131</f>
        <v>100</v>
      </c>
      <c r="R131" s="52">
        <f t="shared" ref="R131:R132" si="457">F131-J131-N131</f>
        <v>0</v>
      </c>
      <c r="S131" s="52">
        <f t="shared" ref="S131:S132" si="458">G131-K131-O131</f>
        <v>499000</v>
      </c>
    </row>
    <row r="132" spans="1:19" ht="29.25" customHeight="1" x14ac:dyDescent="0.5">
      <c r="A132" s="9"/>
      <c r="B132" s="18" t="s">
        <v>87</v>
      </c>
      <c r="C132" s="18"/>
      <c r="D132" s="86"/>
      <c r="E132" s="19">
        <f>F132+G132</f>
        <v>1200000</v>
      </c>
      <c r="F132" s="19">
        <f>SUM(F133:F135)</f>
        <v>0</v>
      </c>
      <c r="G132" s="19">
        <f>G133</f>
        <v>1200000</v>
      </c>
      <c r="H132" s="19">
        <f>J132+K132</f>
        <v>327342.80000000005</v>
      </c>
      <c r="I132" s="19">
        <f>H132*100/E132</f>
        <v>27.27856666666667</v>
      </c>
      <c r="J132" s="19">
        <f>SUM(J133:J135)</f>
        <v>0</v>
      </c>
      <c r="K132" s="19">
        <f>K133</f>
        <v>327342.80000000005</v>
      </c>
      <c r="L132" s="19">
        <f>N132+O132</f>
        <v>0</v>
      </c>
      <c r="M132" s="19">
        <f>L132*100/E132</f>
        <v>0</v>
      </c>
      <c r="N132" s="19">
        <f>SUM(N133:N133)</f>
        <v>0</v>
      </c>
      <c r="O132" s="19">
        <f>SUM(O133:O134)</f>
        <v>0</v>
      </c>
      <c r="P132" s="19">
        <f t="shared" si="455"/>
        <v>872657.2</v>
      </c>
      <c r="Q132" s="19">
        <f>P132*100/E132</f>
        <v>72.721433333333337</v>
      </c>
      <c r="R132" s="19">
        <f t="shared" si="457"/>
        <v>0</v>
      </c>
      <c r="S132" s="19">
        <f t="shared" si="458"/>
        <v>872657.2</v>
      </c>
    </row>
    <row r="133" spans="1:19" s="92" customFormat="1" ht="31.5" customHeight="1" x14ac:dyDescent="0.5">
      <c r="A133" s="87"/>
      <c r="B133" s="88" t="str">
        <f>[30]รายการสรุป!$E$5</f>
        <v>โครงการเพิ่มพื้นที่สีเขียวและปรับปรุงภูมิทัศน์บริเวณรอบหัวงานสำนักงานชลประทานที่ 2 จ.ลำปาง</v>
      </c>
      <c r="C133" s="88" t="str">
        <f>[30]รายการสรุป!$I$5</f>
        <v>0700349052420018</v>
      </c>
      <c r="D133" s="89" t="s">
        <v>88</v>
      </c>
      <c r="E133" s="90">
        <f t="shared" ref="E133" si="459">F133+G133</f>
        <v>1200000</v>
      </c>
      <c r="F133" s="90">
        <v>0</v>
      </c>
      <c r="G133" s="91">
        <f>[30]รายการสรุป!$J$5</f>
        <v>1200000</v>
      </c>
      <c r="H133" s="90">
        <f t="shared" ref="H133" si="460">J133+K133</f>
        <v>327342.80000000005</v>
      </c>
      <c r="I133" s="90">
        <f t="shared" ref="I133" si="461">H133*100/E133</f>
        <v>27.27856666666667</v>
      </c>
      <c r="J133" s="90">
        <v>0</v>
      </c>
      <c r="K133" s="90">
        <f>90457.8+36020+32548+109506.6+54410.4+4400</f>
        <v>327342.80000000005</v>
      </c>
      <c r="L133" s="90">
        <f t="shared" ref="L133" si="462">N133+O133</f>
        <v>0</v>
      </c>
      <c r="M133" s="90">
        <f t="shared" ref="M133" si="463">L133*100/E133</f>
        <v>0</v>
      </c>
      <c r="N133" s="90">
        <v>0</v>
      </c>
      <c r="O133" s="90">
        <v>0</v>
      </c>
      <c r="P133" s="90">
        <f t="shared" ref="P133" si="464">R133+S133</f>
        <v>872657.2</v>
      </c>
      <c r="Q133" s="90">
        <f t="shared" ref="Q133" si="465">P133*100/E133</f>
        <v>72.721433333333337</v>
      </c>
      <c r="R133" s="90">
        <f t="shared" ref="R133" si="466">F133-J133-N133</f>
        <v>0</v>
      </c>
      <c r="S133" s="90">
        <f t="shared" ref="S133" si="467">G133-K133-O133</f>
        <v>872657.2</v>
      </c>
    </row>
    <row r="134" spans="1:19" ht="31.5" customHeight="1" x14ac:dyDescent="0.5">
      <c r="A134" s="9"/>
      <c r="B134" s="57"/>
      <c r="C134" s="57"/>
      <c r="D134" s="55"/>
      <c r="E134" s="52"/>
      <c r="F134" s="52"/>
      <c r="G134" s="53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1:19" ht="31.5" customHeight="1" x14ac:dyDescent="0.5">
      <c r="A135" s="9"/>
      <c r="B135" s="20" t="s">
        <v>34</v>
      </c>
      <c r="C135" s="20"/>
      <c r="D135" s="23"/>
      <c r="E135" s="21">
        <f>G135+F135</f>
        <v>24847160</v>
      </c>
      <c r="F135" s="22">
        <f>F136+F138+F142+F146+F158+F161+F169</f>
        <v>0</v>
      </c>
      <c r="G135" s="21">
        <f>G136+G137+G138+G142+G146+G158+G161+G169+G171</f>
        <v>24847160</v>
      </c>
      <c r="H135" s="22">
        <f>K135+J135</f>
        <v>20644121.120000001</v>
      </c>
      <c r="I135" s="22">
        <f>H135*100/E135</f>
        <v>83.084429447872509</v>
      </c>
      <c r="J135" s="22">
        <f>J136+J138+J142+J146+J158+J161+J169</f>
        <v>0</v>
      </c>
      <c r="K135" s="22">
        <f>K136+K137+K138+K142+K146+K158+K161+K169+K171</f>
        <v>20644121.120000001</v>
      </c>
      <c r="L135" s="22">
        <f>O135+N135</f>
        <v>0</v>
      </c>
      <c r="M135" s="20"/>
      <c r="N135" s="22">
        <f>N136+N138+N146+N161+N169+N137+N171</f>
        <v>0</v>
      </c>
      <c r="O135" s="22">
        <f>O136+O138+O146+O161+O169+O137+O171</f>
        <v>0</v>
      </c>
      <c r="P135" s="22">
        <f>S135+R135</f>
        <v>4203038.879999999</v>
      </c>
      <c r="Q135" s="21">
        <f>P135*100/E135</f>
        <v>16.91557055212748</v>
      </c>
      <c r="R135" s="22">
        <f>F135-J135-N135</f>
        <v>0</v>
      </c>
      <c r="S135" s="22">
        <f>G135-K135-O135</f>
        <v>4203038.879999999</v>
      </c>
    </row>
    <row r="136" spans="1:19" ht="31.5" customHeight="1" x14ac:dyDescent="0.5">
      <c r="A136" s="9">
        <v>108</v>
      </c>
      <c r="B136" s="11" t="str">
        <f>[31]รายการสรุป!$E$5</f>
        <v>สถานีสูบน้ำด้วยไฟฟ้าพร้อมระบบส่งน้ำบ้านหนองหอย ต.เวียงมอก อ.เถิน จ.ลำปาง</v>
      </c>
      <c r="C136" s="54" t="str">
        <f>[31]รายการสรุป!$I$5</f>
        <v>0700349053420094</v>
      </c>
      <c r="D136" s="55" t="s">
        <v>35</v>
      </c>
      <c r="E136" s="52">
        <f t="shared" ref="E136" si="468">F136+G136</f>
        <v>380000</v>
      </c>
      <c r="F136" s="52">
        <v>0</v>
      </c>
      <c r="G136" s="53">
        <f>[31]รายการสรุป!$J$5</f>
        <v>380000</v>
      </c>
      <c r="H136" s="52">
        <f t="shared" ref="H136:H137" si="469">J136+K136</f>
        <v>379132.05000000005</v>
      </c>
      <c r="I136" s="52">
        <f t="shared" ref="I136" si="470">H136*100/E136</f>
        <v>99.771592105263181</v>
      </c>
      <c r="J136" s="52">
        <v>0</v>
      </c>
      <c r="K136" s="52">
        <f>75269.65+82477.65+8706+79988+9280.1+13677+1280+31740+15939.9+41659.25+8017.1+7211.4+3886</f>
        <v>379132.05000000005</v>
      </c>
      <c r="L136" s="52">
        <f t="shared" ref="L136" si="471">N136+O136</f>
        <v>0</v>
      </c>
      <c r="M136" s="52">
        <f t="shared" ref="M136" si="472">L136*100/E136</f>
        <v>0</v>
      </c>
      <c r="N136" s="52">
        <v>0</v>
      </c>
      <c r="O136" s="52">
        <v>0</v>
      </c>
      <c r="P136" s="52">
        <f t="shared" ref="P136:P138" si="473">R136+S136</f>
        <v>867.94999999995343</v>
      </c>
      <c r="Q136" s="52">
        <f t="shared" ref="Q136" si="474">P136*100/E136</f>
        <v>0.22840789473682985</v>
      </c>
      <c r="R136" s="52">
        <f t="shared" ref="R136:R138" si="475">F136-J136-N136</f>
        <v>0</v>
      </c>
      <c r="S136" s="52">
        <f t="shared" ref="S136:S138" si="476">G136-K136-O136</f>
        <v>867.94999999995343</v>
      </c>
    </row>
    <row r="137" spans="1:19" ht="31.5" customHeight="1" x14ac:dyDescent="0.5">
      <c r="A137" s="9">
        <v>109</v>
      </c>
      <c r="B137" s="11" t="str">
        <f>[32]รายการสรุป!$E$5</f>
        <v>แก้มลิงฝายร่องไผ่พร้อมอาคารประกอบ ต.ห้วยแก้ว อ.ภูกามยาว จ.พะเยา</v>
      </c>
      <c r="C137" s="54" t="str">
        <f>[32]รายการสรุป!$I$5</f>
        <v>0700349053420274</v>
      </c>
      <c r="D137" s="55"/>
      <c r="E137" s="52">
        <f t="shared" ref="E137" si="477">F137+G137</f>
        <v>400800</v>
      </c>
      <c r="F137" s="52">
        <v>0</v>
      </c>
      <c r="G137" s="53">
        <f>[32]รายการสรุป!$J$5</f>
        <v>400800</v>
      </c>
      <c r="H137" s="52">
        <f t="shared" si="469"/>
        <v>216960</v>
      </c>
      <c r="I137" s="52">
        <f>H137*100/E137</f>
        <v>54.131736526946106</v>
      </c>
      <c r="J137" s="52">
        <v>0</v>
      </c>
      <c r="K137" s="52">
        <f>4640+6960+10960+9520+39840+9280+9280+44800+6960+10080+13440+39800-200+2320+9280</f>
        <v>216960</v>
      </c>
      <c r="L137" s="52">
        <f t="shared" ref="L137" si="478">N137+O137</f>
        <v>0</v>
      </c>
      <c r="M137" s="52">
        <f t="shared" ref="M137" si="479">L137*100/E137</f>
        <v>0</v>
      </c>
      <c r="N137" s="52">
        <v>0</v>
      </c>
      <c r="O137" s="52">
        <v>0</v>
      </c>
      <c r="P137" s="52">
        <f t="shared" ref="P137" si="480">R137+S137</f>
        <v>183840</v>
      </c>
      <c r="Q137" s="52">
        <f t="shared" ref="Q137" si="481">P137*100/E137</f>
        <v>45.868263473053894</v>
      </c>
      <c r="R137" s="52">
        <f t="shared" ref="R137" si="482">F137-J137-N137</f>
        <v>0</v>
      </c>
      <c r="S137" s="52">
        <f t="shared" ref="S137" si="483">G137-K137-O137</f>
        <v>183840</v>
      </c>
    </row>
    <row r="138" spans="1:19" ht="31.5" customHeight="1" x14ac:dyDescent="0.5">
      <c r="A138" s="9"/>
      <c r="B138" s="18" t="s">
        <v>38</v>
      </c>
      <c r="C138" s="18"/>
      <c r="D138" s="24"/>
      <c r="E138" s="19">
        <f>F138+G138</f>
        <v>2999500</v>
      </c>
      <c r="F138" s="19">
        <f>SUM(F139:F141)</f>
        <v>0</v>
      </c>
      <c r="G138" s="19">
        <f>SUM(G139:G141)</f>
        <v>2999500</v>
      </c>
      <c r="H138" s="19">
        <f>J138+K138</f>
        <v>2999331.3599999994</v>
      </c>
      <c r="I138" s="19">
        <f>H138*100/E138</f>
        <v>99.99437772962159</v>
      </c>
      <c r="J138" s="19">
        <f>SUM(J139:J141)</f>
        <v>0</v>
      </c>
      <c r="K138" s="19">
        <f>SUM(K139:K141)</f>
        <v>2999331.3599999994</v>
      </c>
      <c r="L138" s="19">
        <f>N138+O138</f>
        <v>0</v>
      </c>
      <c r="M138" s="19">
        <f>L138*100/E138</f>
        <v>0</v>
      </c>
      <c r="N138" s="19">
        <f>SUM(N139:N141)</f>
        <v>0</v>
      </c>
      <c r="O138" s="19">
        <f>SUM(O139:O141)</f>
        <v>0</v>
      </c>
      <c r="P138" s="19">
        <f t="shared" si="473"/>
        <v>168.64000000059605</v>
      </c>
      <c r="Q138" s="19">
        <f>P138*100/E138</f>
        <v>5.6222703784162709E-3</v>
      </c>
      <c r="R138" s="19">
        <f t="shared" si="475"/>
        <v>0</v>
      </c>
      <c r="S138" s="19">
        <f t="shared" si="476"/>
        <v>168.64000000059605</v>
      </c>
    </row>
    <row r="139" spans="1:19" ht="31.5" customHeight="1" x14ac:dyDescent="0.5">
      <c r="A139" s="9">
        <v>110</v>
      </c>
      <c r="B139" s="11" t="str">
        <f>[33]รายการสรุป!$E$5</f>
        <v>อ่างเก็บน้ำน้ำกิ จ.น่าน(ถนนเข้าหัวงาน 8.00กม.)</v>
      </c>
      <c r="C139" s="54" t="str">
        <f>[33]รายการสรุป!$I$5</f>
        <v>0700349053420195</v>
      </c>
      <c r="D139" s="55" t="s">
        <v>23</v>
      </c>
      <c r="E139" s="52">
        <f t="shared" ref="E139" si="484">F139+G139</f>
        <v>1143800</v>
      </c>
      <c r="F139" s="52">
        <v>0</v>
      </c>
      <c r="G139" s="53">
        <f>[33]รายการสรุป!$J$5</f>
        <v>1143800</v>
      </c>
      <c r="H139" s="52">
        <f t="shared" ref="H139" si="485">J139+K139</f>
        <v>1143800</v>
      </c>
      <c r="I139" s="52">
        <f t="shared" ref="I139" si="486">H139*100/E139</f>
        <v>100</v>
      </c>
      <c r="J139" s="52">
        <v>0</v>
      </c>
      <c r="K139" s="52">
        <f>186124+60456+60499+185069+120912+15234+90720+11980+28600+150765+113960+71403+44400+3678</f>
        <v>1143800</v>
      </c>
      <c r="L139" s="52">
        <f t="shared" ref="L139" si="487">N139+O139</f>
        <v>0</v>
      </c>
      <c r="M139" s="52">
        <f t="shared" ref="M139" si="488">L139*100/E139</f>
        <v>0</v>
      </c>
      <c r="N139" s="52">
        <v>0</v>
      </c>
      <c r="O139" s="52">
        <v>0</v>
      </c>
      <c r="P139" s="52">
        <f t="shared" ref="P139" si="489">R139+S139</f>
        <v>0</v>
      </c>
      <c r="Q139" s="52">
        <f t="shared" ref="Q139" si="490">P139*100/E139</f>
        <v>0</v>
      </c>
      <c r="R139" s="52">
        <f t="shared" ref="R139" si="491">F139-J139-N139</f>
        <v>0</v>
      </c>
      <c r="S139" s="52">
        <f t="shared" ref="S139" si="492">G139-K139-O139</f>
        <v>0</v>
      </c>
    </row>
    <row r="140" spans="1:19" ht="45.75" customHeight="1" x14ac:dyDescent="0.5">
      <c r="A140" s="9">
        <v>111</v>
      </c>
      <c r="B140" s="11" t="str">
        <f>[33]รายการสรุป!$E$6</f>
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</c>
      <c r="C140" s="54" t="str">
        <f>[33]รายการสรุป!$I$6</f>
        <v>0700349053420195</v>
      </c>
      <c r="D140" s="55" t="s">
        <v>23</v>
      </c>
      <c r="E140" s="52">
        <f t="shared" ref="E140:E141" si="493">F140+G140</f>
        <v>1300100</v>
      </c>
      <c r="F140" s="52">
        <v>0</v>
      </c>
      <c r="G140" s="53">
        <f>[34]รายการสรุป!$J$6</f>
        <v>1300100</v>
      </c>
      <c r="H140" s="52">
        <f t="shared" ref="H140:H141" si="494">J140+K140</f>
        <v>1299931.5599999998</v>
      </c>
      <c r="I140" s="52">
        <f t="shared" ref="I140:I141" si="495">H140*100/E140</f>
        <v>99.9870440735328</v>
      </c>
      <c r="J140" s="52">
        <v>0</v>
      </c>
      <c r="K140" s="52">
        <f>160320.6+149160+17989.06+303408+157300+158697+196005.9+138380+6900+6900+4871</f>
        <v>1299931.5599999998</v>
      </c>
      <c r="L140" s="52">
        <f t="shared" ref="L140:L141" si="496">N140+O140</f>
        <v>0</v>
      </c>
      <c r="M140" s="52">
        <f t="shared" ref="M140:M141" si="497">L140*100/E140</f>
        <v>0</v>
      </c>
      <c r="N140" s="52">
        <v>0</v>
      </c>
      <c r="O140" s="52">
        <v>0</v>
      </c>
      <c r="P140" s="52">
        <f t="shared" ref="P140:P146" si="498">R140+S140</f>
        <v>168.44000000017695</v>
      </c>
      <c r="Q140" s="52">
        <f t="shared" ref="Q140:Q141" si="499">P140*100/E140</f>
        <v>1.2955926467208442E-2</v>
      </c>
      <c r="R140" s="52">
        <f t="shared" ref="R140:R146" si="500">F140-J140-N140</f>
        <v>0</v>
      </c>
      <c r="S140" s="52">
        <f t="shared" ref="S140:S146" si="501">G140-K140-O140</f>
        <v>168.44000000017695</v>
      </c>
    </row>
    <row r="141" spans="1:19" ht="50.25" customHeight="1" x14ac:dyDescent="0.5">
      <c r="A141" s="9">
        <v>112</v>
      </c>
      <c r="B141" s="11" t="str">
        <f>[33]รายการสรุป!$E$7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41" s="54" t="str">
        <f>[33]รายการสรุป!$I$7</f>
        <v>0700349053420195</v>
      </c>
      <c r="D141" s="55" t="s">
        <v>23</v>
      </c>
      <c r="E141" s="52">
        <f t="shared" si="493"/>
        <v>555600</v>
      </c>
      <c r="F141" s="52">
        <v>0</v>
      </c>
      <c r="G141" s="53">
        <f>[33]รายการสรุป!$J$7</f>
        <v>555600</v>
      </c>
      <c r="H141" s="52">
        <f t="shared" si="494"/>
        <v>555599.80000000005</v>
      </c>
      <c r="I141" s="52">
        <f t="shared" si="495"/>
        <v>99.999964002879778</v>
      </c>
      <c r="J141" s="52">
        <v>0</v>
      </c>
      <c r="K141" s="52">
        <f>210201.5+69524.4+62250+82777.6+74814.3+12695+20700+20700+1937</f>
        <v>555599.80000000005</v>
      </c>
      <c r="L141" s="52">
        <f t="shared" si="496"/>
        <v>0</v>
      </c>
      <c r="M141" s="52">
        <f t="shared" si="497"/>
        <v>0</v>
      </c>
      <c r="N141" s="52">
        <v>0</v>
      </c>
      <c r="O141" s="52">
        <v>0</v>
      </c>
      <c r="P141" s="52">
        <f t="shared" si="498"/>
        <v>0.19999999995343387</v>
      </c>
      <c r="Q141" s="52">
        <f t="shared" si="499"/>
        <v>3.5997120222000338E-5</v>
      </c>
      <c r="R141" s="52">
        <f t="shared" si="500"/>
        <v>0</v>
      </c>
      <c r="S141" s="52">
        <f t="shared" si="501"/>
        <v>0.19999999995343387</v>
      </c>
    </row>
    <row r="142" spans="1:19" ht="38.25" customHeight="1" x14ac:dyDescent="0.5">
      <c r="A142" s="9"/>
      <c r="B142" s="18" t="s">
        <v>89</v>
      </c>
      <c r="C142" s="18"/>
      <c r="D142" s="24"/>
      <c r="E142" s="19">
        <f>F142+G142</f>
        <v>2650600</v>
      </c>
      <c r="F142" s="19">
        <f>SUM(F143:F145)</f>
        <v>0</v>
      </c>
      <c r="G142" s="19">
        <f>SUM(G143:G145)</f>
        <v>2650600</v>
      </c>
      <c r="H142" s="19">
        <f>J142+K142</f>
        <v>1537842.69</v>
      </c>
      <c r="I142" s="19">
        <f>H142*100/E142</f>
        <v>58.018663321512108</v>
      </c>
      <c r="J142" s="19">
        <f>SUM(J143:J145)</f>
        <v>0</v>
      </c>
      <c r="K142" s="19">
        <f>SUM(K143:K145)</f>
        <v>1537842.69</v>
      </c>
      <c r="L142" s="19">
        <f>N142+O142</f>
        <v>0</v>
      </c>
      <c r="M142" s="19">
        <f>L142*100/E142</f>
        <v>0</v>
      </c>
      <c r="N142" s="19">
        <f>SUM(N143:N145)</f>
        <v>0</v>
      </c>
      <c r="O142" s="19">
        <f>SUM(O143:O145)</f>
        <v>0</v>
      </c>
      <c r="P142" s="19">
        <f t="shared" si="498"/>
        <v>1112757.31</v>
      </c>
      <c r="Q142" s="19">
        <f>P142*100/E142</f>
        <v>41.981336678487892</v>
      </c>
      <c r="R142" s="19">
        <f t="shared" si="500"/>
        <v>0</v>
      </c>
      <c r="S142" s="19">
        <f t="shared" si="501"/>
        <v>1112757.31</v>
      </c>
    </row>
    <row r="143" spans="1:19" ht="45" customHeight="1" x14ac:dyDescent="0.5">
      <c r="A143" s="9">
        <v>113</v>
      </c>
      <c r="B143" s="11" t="str">
        <f>[35]รายการสรุป!$E$5</f>
        <v>ค่าสำรวจแผนที่ภูมิประเทศอ่างเก็บน้ำห้วยแม่เคียนอันเนื่องมาจากพระราชดำริ ต.ปงเตา อ.งาว จ.ลำปาง(หัวงานและอาคารประกอบ)</v>
      </c>
      <c r="C143" s="54" t="str">
        <f>[35]รายการสรุป!$I$5</f>
        <v>0700349053410093</v>
      </c>
      <c r="D143" s="55"/>
      <c r="E143" s="52">
        <f t="shared" ref="E143" si="502">F143+G143</f>
        <v>977100</v>
      </c>
      <c r="F143" s="52">
        <v>0</v>
      </c>
      <c r="G143" s="53">
        <f>[35]รายการสรุป!$J$5</f>
        <v>977100</v>
      </c>
      <c r="H143" s="52">
        <f t="shared" ref="H143" si="503">J143+K143</f>
        <v>826569.66</v>
      </c>
      <c r="I143" s="52">
        <f t="shared" ref="I143" si="504">H143*100/E143</f>
        <v>84.59417255142769</v>
      </c>
      <c r="J143" s="52">
        <v>0</v>
      </c>
      <c r="K143" s="52">
        <f>83308.5+34762.2+61120+273766.5+63464+11983.56+118644.9+179520</f>
        <v>826569.66</v>
      </c>
      <c r="L143" s="52">
        <f t="shared" ref="L143" si="505">N143+O143</f>
        <v>0</v>
      </c>
      <c r="M143" s="52">
        <f t="shared" ref="M143" si="506">L143*100/E143</f>
        <v>0</v>
      </c>
      <c r="N143" s="52">
        <v>0</v>
      </c>
      <c r="O143" s="52">
        <v>0</v>
      </c>
      <c r="P143" s="52">
        <f t="shared" ref="P143" si="507">R143+S143</f>
        <v>150530.33999999997</v>
      </c>
      <c r="Q143" s="52">
        <f t="shared" ref="Q143" si="508">P143*100/E143</f>
        <v>15.405827448572301</v>
      </c>
      <c r="R143" s="52">
        <f t="shared" ref="R143" si="509">F143-J143-N143</f>
        <v>0</v>
      </c>
      <c r="S143" s="52">
        <f t="shared" ref="S143" si="510">G143-K143-O143</f>
        <v>150530.33999999997</v>
      </c>
    </row>
    <row r="144" spans="1:19" ht="48" customHeight="1" x14ac:dyDescent="0.5">
      <c r="A144" s="9">
        <v>114</v>
      </c>
      <c r="B144" s="11" t="str">
        <f>[35]รายการสรุป!$E$6</f>
        <v>ค่าสำรวจแผนที่ภูมิประเทศระบบส่งน้ำพร้อมอาคารประกอบอ่างเก็บน้ำแม่อ้อน2อันเนื่องมาจากพระราชดำริต.บ้านอ้อน อ.งาว จ.ลำปาง(ระบบชลประทานและอาคารประกอบ)</v>
      </c>
      <c r="C144" s="54" t="str">
        <f>[35]รายการสรุป!$I$6</f>
        <v>0700349053410094</v>
      </c>
      <c r="D144" s="55"/>
      <c r="E144" s="52">
        <f t="shared" ref="E144:E145" si="511">F144+G144</f>
        <v>933800</v>
      </c>
      <c r="F144" s="52">
        <v>0</v>
      </c>
      <c r="G144" s="53">
        <f>[35]รายการสรุป!$J$6</f>
        <v>933800</v>
      </c>
      <c r="H144" s="52">
        <f t="shared" ref="H144:H145" si="512">J144+K144</f>
        <v>702285.61</v>
      </c>
      <c r="I144" s="52">
        <f t="shared" ref="I144:I145" si="513">H144*100/E144</f>
        <v>75.20728314414221</v>
      </c>
      <c r="J144" s="52">
        <v>0</v>
      </c>
      <c r="K144" s="52">
        <f>67544.85+30228+53480+17984.11+221962.65+136026+155840+19220</f>
        <v>702285.61</v>
      </c>
      <c r="L144" s="52">
        <f t="shared" ref="L144:L145" si="514">N144+O144</f>
        <v>0</v>
      </c>
      <c r="M144" s="52">
        <f t="shared" ref="M144:M145" si="515">L144*100/E144</f>
        <v>0</v>
      </c>
      <c r="N144" s="52">
        <v>0</v>
      </c>
      <c r="O144" s="52">
        <v>0</v>
      </c>
      <c r="P144" s="52">
        <f t="shared" ref="P144:P145" si="516">R144+S144</f>
        <v>231514.39</v>
      </c>
      <c r="Q144" s="52">
        <f t="shared" ref="Q144:Q145" si="517">P144*100/E144</f>
        <v>24.792716855857787</v>
      </c>
      <c r="R144" s="52">
        <f t="shared" ref="R144:R145" si="518">F144-J144-N144</f>
        <v>0</v>
      </c>
      <c r="S144" s="52">
        <f t="shared" ref="S144:S145" si="519">G144-K144-O144</f>
        <v>231514.39</v>
      </c>
    </row>
    <row r="145" spans="1:19" ht="47.25" customHeight="1" x14ac:dyDescent="0.5">
      <c r="A145" s="9">
        <v>115</v>
      </c>
      <c r="B145" s="11" t="str">
        <f>[35]รายการสรุป!$E$7</f>
        <v>ค่าสำรวจแผนที่ภูมิประเทศอ่างเก็บน้ำแม่สุยอันเนื่องมาจากพระราชดำริ ต.บ้านค่า อ.เมือง จ.ลำปาง(หัวงานและอาคารประกอบ)</v>
      </c>
      <c r="C145" s="54" t="str">
        <f>[35]รายการสรุป!$I$7</f>
        <v>0700349053410095</v>
      </c>
      <c r="D145" s="55"/>
      <c r="E145" s="52">
        <f t="shared" si="511"/>
        <v>739700</v>
      </c>
      <c r="F145" s="52">
        <v>0</v>
      </c>
      <c r="G145" s="53">
        <f>[35]รายการสรุป!$J$7</f>
        <v>739700</v>
      </c>
      <c r="H145" s="52">
        <f t="shared" si="512"/>
        <v>8987.42</v>
      </c>
      <c r="I145" s="52">
        <f t="shared" si="513"/>
        <v>1.2150087873462214</v>
      </c>
      <c r="J145" s="52">
        <v>0</v>
      </c>
      <c r="K145" s="52">
        <f>8987.42</f>
        <v>8987.42</v>
      </c>
      <c r="L145" s="52">
        <f t="shared" si="514"/>
        <v>0</v>
      </c>
      <c r="M145" s="52">
        <f t="shared" si="515"/>
        <v>0</v>
      </c>
      <c r="N145" s="52">
        <v>0</v>
      </c>
      <c r="O145" s="52">
        <v>0</v>
      </c>
      <c r="P145" s="52">
        <f t="shared" si="516"/>
        <v>730712.58</v>
      </c>
      <c r="Q145" s="52">
        <f t="shared" si="517"/>
        <v>98.784991212653779</v>
      </c>
      <c r="R145" s="52">
        <f t="shared" si="518"/>
        <v>0</v>
      </c>
      <c r="S145" s="52">
        <f t="shared" si="519"/>
        <v>730712.58</v>
      </c>
    </row>
    <row r="146" spans="1:19" ht="31.5" customHeight="1" x14ac:dyDescent="0.5">
      <c r="A146" s="9"/>
      <c r="B146" s="18" t="s">
        <v>39</v>
      </c>
      <c r="C146" s="18"/>
      <c r="D146" s="24"/>
      <c r="E146" s="19">
        <f>F146+G146</f>
        <v>7098410</v>
      </c>
      <c r="F146" s="19">
        <f>SUM(F147:F157)</f>
        <v>0</v>
      </c>
      <c r="G146" s="19">
        <f>SUM(G147:G157)</f>
        <v>7098410</v>
      </c>
      <c r="H146" s="19">
        <f>J146+K146</f>
        <v>6791774.1000000006</v>
      </c>
      <c r="I146" s="19">
        <f>H146*100/E146</f>
        <v>95.680217119044968</v>
      </c>
      <c r="J146" s="19">
        <f>SUM(J147:J157)</f>
        <v>0</v>
      </c>
      <c r="K146" s="19">
        <f>SUM(K147:K157)</f>
        <v>6791774.1000000006</v>
      </c>
      <c r="L146" s="19">
        <f>N146+O146</f>
        <v>0</v>
      </c>
      <c r="M146" s="19">
        <f>L146*100/E146</f>
        <v>0</v>
      </c>
      <c r="N146" s="19">
        <f>SUM(N147:N157)</f>
        <v>0</v>
      </c>
      <c r="O146" s="19">
        <f>SUM(O147:O157)</f>
        <v>0</v>
      </c>
      <c r="P146" s="19">
        <f t="shared" si="498"/>
        <v>306635.89999999944</v>
      </c>
      <c r="Q146" s="19">
        <f>P146*100/E146</f>
        <v>4.3197828809550227</v>
      </c>
      <c r="R146" s="19">
        <f t="shared" si="500"/>
        <v>0</v>
      </c>
      <c r="S146" s="19">
        <f t="shared" si="501"/>
        <v>306635.89999999944</v>
      </c>
    </row>
    <row r="147" spans="1:19" ht="34.5" customHeight="1" x14ac:dyDescent="0.5">
      <c r="A147" s="9">
        <v>116</v>
      </c>
      <c r="B147" s="11" t="str">
        <f>[36]รายการสรุป!$E$5</f>
        <v>อ่างเก็บน้ำน้ำกิ จ.น่าน(ถนนเข้าหัวงาน 8.00กม.)</v>
      </c>
      <c r="C147" s="54" t="str">
        <f>[36]รายการสรุป!$I$5</f>
        <v>0700349053420194</v>
      </c>
      <c r="D147" s="55" t="s">
        <v>23</v>
      </c>
      <c r="E147" s="52">
        <f t="shared" ref="E147" si="520">F147+G147</f>
        <v>518560</v>
      </c>
      <c r="F147" s="52">
        <v>0</v>
      </c>
      <c r="G147" s="53">
        <f>[36]รายการสรุป!$J$5</f>
        <v>518560</v>
      </c>
      <c r="H147" s="52">
        <f t="shared" ref="H147" si="521">J147+K147</f>
        <v>517423.3</v>
      </c>
      <c r="I147" s="52">
        <f t="shared" ref="I147" si="522">H147*100/E147</f>
        <v>99.780796821968522</v>
      </c>
      <c r="J147" s="52">
        <v>0</v>
      </c>
      <c r="K147" s="52">
        <f>16660.7+55545+68885.6+12993+52899+6410+198840+97240+7950</f>
        <v>517423.3</v>
      </c>
      <c r="L147" s="52">
        <f t="shared" ref="L147" si="523">N147+O147</f>
        <v>0</v>
      </c>
      <c r="M147" s="52">
        <f t="shared" ref="M147" si="524">L147*100/E147</f>
        <v>0</v>
      </c>
      <c r="N147" s="52">
        <v>0</v>
      </c>
      <c r="O147" s="52">
        <v>0</v>
      </c>
      <c r="P147" s="52">
        <f t="shared" ref="P147" si="525">R147+S147</f>
        <v>1136.7000000000116</v>
      </c>
      <c r="Q147" s="52">
        <f t="shared" ref="Q147" si="526">P147*100/E147</f>
        <v>0.21920317803147402</v>
      </c>
      <c r="R147" s="52">
        <f t="shared" ref="R147" si="527">F147-J147-N147</f>
        <v>0</v>
      </c>
      <c r="S147" s="52">
        <f t="shared" ref="S147" si="528">G147-K147-O147</f>
        <v>1136.7000000000116</v>
      </c>
    </row>
    <row r="148" spans="1:19" ht="48.75" customHeight="1" x14ac:dyDescent="0.5">
      <c r="A148" s="9">
        <v>117</v>
      </c>
      <c r="B148" s="11" t="str">
        <f>[36]รายการสรุป!$E$6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48" s="54" t="str">
        <f>[36]รายการสรุป!$I$6</f>
        <v>0700349053420194</v>
      </c>
      <c r="D148" s="55" t="s">
        <v>23</v>
      </c>
      <c r="E148" s="52">
        <f t="shared" ref="E148:E150" si="529">F148+G148</f>
        <v>2139850</v>
      </c>
      <c r="F148" s="52">
        <v>0</v>
      </c>
      <c r="G148" s="53">
        <f>[37]รายการสรุป!$J$6</f>
        <v>2139850</v>
      </c>
      <c r="H148" s="52">
        <f t="shared" ref="H148:H150" si="530">J148+K148</f>
        <v>2124419.9500000002</v>
      </c>
      <c r="I148" s="52">
        <f t="shared" ref="I148:I150" si="531">H148*100/E148</f>
        <v>99.278919083113323</v>
      </c>
      <c r="J148" s="52">
        <v>0</v>
      </c>
      <c r="K148" s="52">
        <f>79696.8+193670+484300+15000+83520+143600+112366.9-1984.25+101914.8+83670+117719.8+10000+61150.8+58859.9+40767.2+74264.4+98394.8+63478.8+198680+97400+7950</f>
        <v>2124419.9500000002</v>
      </c>
      <c r="L148" s="52">
        <f t="shared" ref="L148:L150" si="532">N148+O148</f>
        <v>0</v>
      </c>
      <c r="M148" s="52">
        <f t="shared" ref="M148:M150" si="533">L148*100/E148</f>
        <v>0</v>
      </c>
      <c r="N148" s="52">
        <v>0</v>
      </c>
      <c r="O148" s="52">
        <v>0</v>
      </c>
      <c r="P148" s="52">
        <f t="shared" ref="P148:P161" si="534">R148+S148</f>
        <v>15430.049999999814</v>
      </c>
      <c r="Q148" s="52">
        <f t="shared" ref="Q148:Q150" si="535">P148*100/E148</f>
        <v>0.72108091688668896</v>
      </c>
      <c r="R148" s="52">
        <f t="shared" ref="R148:R161" si="536">F148-J148-N148</f>
        <v>0</v>
      </c>
      <c r="S148" s="52">
        <f t="shared" ref="S148:S161" si="537">G148-K148-O148</f>
        <v>15430.049999999814</v>
      </c>
    </row>
    <row r="149" spans="1:19" ht="49.5" customHeight="1" x14ac:dyDescent="0.5">
      <c r="A149" s="9">
        <v>118</v>
      </c>
      <c r="B149" s="11" t="str">
        <f>[36]รายการสรุป!$E$7</f>
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</c>
      <c r="C149" s="54" t="str">
        <f>[36]รายการสรุป!$I$7</f>
        <v>0700349053420194</v>
      </c>
      <c r="D149" s="55" t="s">
        <v>23</v>
      </c>
      <c r="E149" s="52">
        <f t="shared" si="529"/>
        <v>1925700</v>
      </c>
      <c r="F149" s="52">
        <v>0</v>
      </c>
      <c r="G149" s="53">
        <f>[36]รายการสรุป!$J$7</f>
        <v>1925700</v>
      </c>
      <c r="H149" s="52">
        <f t="shared" si="530"/>
        <v>1919588.5999999999</v>
      </c>
      <c r="I149" s="52">
        <f t="shared" si="531"/>
        <v>99.682640078932337</v>
      </c>
      <c r="J149" s="52">
        <v>0</v>
      </c>
      <c r="K149" s="52">
        <f>68758.65+118200+69678+41659.25+34006.5+415200+261640+105250+7950+43643.5+18892.5+6906+31738+64210.8+40767.2+83970+11335.5+101663.1+11400+101834.4+81570+123070.7+76244.5</f>
        <v>1919588.5999999999</v>
      </c>
      <c r="L149" s="52">
        <f t="shared" si="532"/>
        <v>0</v>
      </c>
      <c r="M149" s="52">
        <f t="shared" si="533"/>
        <v>0</v>
      </c>
      <c r="N149" s="52">
        <v>0</v>
      </c>
      <c r="O149" s="52">
        <v>0</v>
      </c>
      <c r="P149" s="52">
        <f t="shared" si="534"/>
        <v>6111.4000000001397</v>
      </c>
      <c r="Q149" s="52">
        <f t="shared" si="535"/>
        <v>0.31735992106767097</v>
      </c>
      <c r="R149" s="52">
        <f t="shared" si="536"/>
        <v>0</v>
      </c>
      <c r="S149" s="52">
        <f t="shared" si="537"/>
        <v>6111.4000000001397</v>
      </c>
    </row>
    <row r="150" spans="1:19" ht="31.5" customHeight="1" x14ac:dyDescent="0.5">
      <c r="A150" s="9">
        <v>119</v>
      </c>
      <c r="B150" s="11" t="str">
        <f>[36]รายการสรุป!$E$8</f>
        <v>อ่างเก็บน้ำห้วยแหน ต.ป่าตัน อ.แม่ทะ จ.ลำปาง</v>
      </c>
      <c r="C150" s="54" t="str">
        <f>[36]รายการสรุป!$I$8</f>
        <v>0700349053420194</v>
      </c>
      <c r="D150" s="55" t="s">
        <v>40</v>
      </c>
      <c r="E150" s="52">
        <f t="shared" si="529"/>
        <v>814500</v>
      </c>
      <c r="F150" s="52">
        <v>0</v>
      </c>
      <c r="G150" s="53">
        <f>[36]รายการสรุป!$J$8</f>
        <v>814500</v>
      </c>
      <c r="H150" s="52">
        <f t="shared" si="530"/>
        <v>814498.15</v>
      </c>
      <c r="I150" s="52">
        <f t="shared" si="531"/>
        <v>99.999772866789442</v>
      </c>
      <c r="J150" s="52">
        <v>0</v>
      </c>
      <c r="K150" s="52">
        <f>6400+119405+78362.7+4680+3798+24995.55+227960+18136.8+5061+27376.65+24736.8+1480+23805+23836.8+4326+2560+58322.95+4784+30649.5+3083+4990+61100.9+26449.5+21840+6358</f>
        <v>814498.15</v>
      </c>
      <c r="L150" s="52">
        <f t="shared" si="532"/>
        <v>0</v>
      </c>
      <c r="M150" s="52">
        <f t="shared" si="533"/>
        <v>0</v>
      </c>
      <c r="N150" s="52">
        <v>0</v>
      </c>
      <c r="O150" s="52">
        <v>0</v>
      </c>
      <c r="P150" s="52">
        <f t="shared" si="534"/>
        <v>1.8499999999767169</v>
      </c>
      <c r="Q150" s="52">
        <f t="shared" si="535"/>
        <v>2.2713321055576634E-4</v>
      </c>
      <c r="R150" s="52">
        <f t="shared" si="536"/>
        <v>0</v>
      </c>
      <c r="S150" s="52">
        <f t="shared" si="537"/>
        <v>1.8499999999767169</v>
      </c>
    </row>
    <row r="151" spans="1:19" ht="31.5" customHeight="1" x14ac:dyDescent="0.5">
      <c r="A151" s="9">
        <v>120</v>
      </c>
      <c r="B151" s="11" t="str">
        <f>[38]รายการสรุป!$E$9</f>
        <v>อ่างเก็บน้ำห้วยเดื่ออันเนื่องมาจากพระราชดำริ ต.บ้านแลง อ.เมือง จ.ลำปาง</v>
      </c>
      <c r="C151" s="54" t="str">
        <f>[38]รายการสรุป!$I$9</f>
        <v>0700349053420194</v>
      </c>
      <c r="D151" s="55" t="s">
        <v>23</v>
      </c>
      <c r="E151" s="52">
        <f t="shared" ref="E151" si="538">F151+G151</f>
        <v>86000</v>
      </c>
      <c r="F151" s="52">
        <v>0</v>
      </c>
      <c r="G151" s="53">
        <f>[38]รายการสรุป!$J$9</f>
        <v>86000</v>
      </c>
      <c r="H151" s="52">
        <f t="shared" ref="H151" si="539">J151+K151</f>
        <v>86000</v>
      </c>
      <c r="I151" s="52">
        <f t="shared" ref="I151" si="540">H151*100/E151</f>
        <v>100</v>
      </c>
      <c r="J151" s="52">
        <v>0</v>
      </c>
      <c r="K151" s="52">
        <f>9000+77000</f>
        <v>86000</v>
      </c>
      <c r="L151" s="52">
        <f t="shared" ref="L151" si="541">N151+O151</f>
        <v>0</v>
      </c>
      <c r="M151" s="52">
        <f t="shared" ref="M151" si="542">L151*100/E151</f>
        <v>0</v>
      </c>
      <c r="N151" s="52">
        <v>0</v>
      </c>
      <c r="O151" s="52">
        <v>0</v>
      </c>
      <c r="P151" s="52">
        <f t="shared" ref="P151" si="543">R151+S151</f>
        <v>0</v>
      </c>
      <c r="Q151" s="52">
        <f t="shared" ref="Q151" si="544">P151*100/E151</f>
        <v>0</v>
      </c>
      <c r="R151" s="52">
        <f t="shared" ref="R151" si="545">F151-J151-N151</f>
        <v>0</v>
      </c>
      <c r="S151" s="52">
        <f t="shared" ref="S151" si="546">G151-K151-O151</f>
        <v>0</v>
      </c>
    </row>
    <row r="152" spans="1:19" ht="31.5" customHeight="1" x14ac:dyDescent="0.5">
      <c r="A152" s="9">
        <v>121</v>
      </c>
      <c r="B152" s="11" t="str">
        <f>[38]รายการสรุป!$E$10</f>
        <v>อ่างเก็บน้ำแม่ยอนตอนบนอันเนื่องมาจากพระราชดำริ ต.สันดอนแก้ว อ.แม่ทะ จ.ลำปาง</v>
      </c>
      <c r="C152" s="54" t="str">
        <f>[38]รายการสรุป!$I$9</f>
        <v>0700349053420194</v>
      </c>
      <c r="D152" s="55" t="s">
        <v>23</v>
      </c>
      <c r="E152" s="52">
        <f t="shared" ref="E152:E155" si="547">F152+G152</f>
        <v>92000</v>
      </c>
      <c r="F152" s="52">
        <v>0</v>
      </c>
      <c r="G152" s="53">
        <f>[38]รายการสรุป!$J$10</f>
        <v>92000</v>
      </c>
      <c r="H152" s="52">
        <f t="shared" ref="H152:H155" si="548">J152+K152</f>
        <v>92000</v>
      </c>
      <c r="I152" s="52">
        <f t="shared" ref="I152:I155" si="549">H152*100/E152</f>
        <v>100</v>
      </c>
      <c r="J152" s="52">
        <v>0</v>
      </c>
      <c r="K152" s="52">
        <f>9000+83000</f>
        <v>92000</v>
      </c>
      <c r="L152" s="52">
        <f t="shared" ref="L152:L155" si="550">N152+O152</f>
        <v>0</v>
      </c>
      <c r="M152" s="52">
        <f t="shared" ref="M152:M155" si="551">L152*100/E152</f>
        <v>0</v>
      </c>
      <c r="N152" s="52">
        <v>0</v>
      </c>
      <c r="O152" s="52">
        <v>0</v>
      </c>
      <c r="P152" s="52">
        <f t="shared" ref="P152:P155" si="552">R152+S152</f>
        <v>0</v>
      </c>
      <c r="Q152" s="52">
        <f t="shared" ref="Q152:Q155" si="553">P152*100/E152</f>
        <v>0</v>
      </c>
      <c r="R152" s="52">
        <f t="shared" ref="R152:R155" si="554">F152-J152-N152</f>
        <v>0</v>
      </c>
      <c r="S152" s="52">
        <f t="shared" ref="S152:S155" si="555">G152-K152-O152</f>
        <v>0</v>
      </c>
    </row>
    <row r="153" spans="1:19" ht="31.5" customHeight="1" x14ac:dyDescent="0.5">
      <c r="A153" s="9">
        <v>122</v>
      </c>
      <c r="B153" s="11" t="str">
        <f>[38]รายการสรุป!$E$11</f>
        <v>อ่างเก็บน้ำห้วยขี้เหล็กอันเนื่องมาจากพระราชดำริ ต.ครั่ง อ.เชียงของ จ.เชียงราย</v>
      </c>
      <c r="C153" s="54" t="str">
        <f>[38]รายการสรุป!$I$9</f>
        <v>0700349053420194</v>
      </c>
      <c r="D153" s="55" t="s">
        <v>23</v>
      </c>
      <c r="E153" s="52">
        <f t="shared" si="547"/>
        <v>92400</v>
      </c>
      <c r="F153" s="52">
        <v>0</v>
      </c>
      <c r="G153" s="53">
        <f>[38]รายการสรุป!$J$11</f>
        <v>92400</v>
      </c>
      <c r="H153" s="52">
        <f t="shared" si="548"/>
        <v>91500</v>
      </c>
      <c r="I153" s="52">
        <f t="shared" si="549"/>
        <v>99.025974025974023</v>
      </c>
      <c r="J153" s="52">
        <v>0</v>
      </c>
      <c r="K153" s="52">
        <f>9000+82500</f>
        <v>91500</v>
      </c>
      <c r="L153" s="52">
        <f t="shared" si="550"/>
        <v>0</v>
      </c>
      <c r="M153" s="52">
        <f t="shared" si="551"/>
        <v>0</v>
      </c>
      <c r="N153" s="52">
        <v>0</v>
      </c>
      <c r="O153" s="52">
        <v>0</v>
      </c>
      <c r="P153" s="52">
        <f t="shared" si="552"/>
        <v>900</v>
      </c>
      <c r="Q153" s="52">
        <f t="shared" si="553"/>
        <v>0.97402597402597402</v>
      </c>
      <c r="R153" s="52">
        <f t="shared" si="554"/>
        <v>0</v>
      </c>
      <c r="S153" s="52">
        <f t="shared" si="555"/>
        <v>900</v>
      </c>
    </row>
    <row r="154" spans="1:19" ht="31.5" customHeight="1" x14ac:dyDescent="0.5">
      <c r="A154" s="9">
        <v>123</v>
      </c>
      <c r="B154" s="11" t="str">
        <f>[38]รายการสรุป!$E$12</f>
        <v>อ่างเก็บน้ำแม่ทานอันเนื่องมาจากพระราชดำริ ต.แม่ทะ อ.สบปราบ จ.ลำปาง</v>
      </c>
      <c r="C154" s="54" t="str">
        <f>[38]รายการสรุป!$I$9</f>
        <v>0700349053420194</v>
      </c>
      <c r="D154" s="55" t="s">
        <v>23</v>
      </c>
      <c r="E154" s="52">
        <f t="shared" si="547"/>
        <v>153900</v>
      </c>
      <c r="F154" s="52">
        <v>0</v>
      </c>
      <c r="G154" s="53">
        <f>[38]รายการสรุป!$J$12</f>
        <v>153900</v>
      </c>
      <c r="H154" s="52">
        <f t="shared" si="548"/>
        <v>153800</v>
      </c>
      <c r="I154" s="52">
        <f t="shared" si="549"/>
        <v>99.935022742040289</v>
      </c>
      <c r="J154" s="52">
        <v>0</v>
      </c>
      <c r="K154" s="52">
        <f>9000+94800+50000</f>
        <v>153800</v>
      </c>
      <c r="L154" s="52">
        <f t="shared" si="550"/>
        <v>0</v>
      </c>
      <c r="M154" s="52">
        <f t="shared" si="551"/>
        <v>0</v>
      </c>
      <c r="N154" s="52">
        <v>0</v>
      </c>
      <c r="O154" s="52">
        <v>0</v>
      </c>
      <c r="P154" s="52">
        <f t="shared" si="552"/>
        <v>100</v>
      </c>
      <c r="Q154" s="52">
        <f t="shared" si="553"/>
        <v>6.4977257959714096E-2</v>
      </c>
      <c r="R154" s="52">
        <f t="shared" si="554"/>
        <v>0</v>
      </c>
      <c r="S154" s="52">
        <f t="shared" si="555"/>
        <v>100</v>
      </c>
    </row>
    <row r="155" spans="1:19" ht="31.5" customHeight="1" x14ac:dyDescent="0.5">
      <c r="A155" s="9">
        <v>124</v>
      </c>
      <c r="B155" s="11" t="str">
        <f>[38]รายการสรุป!$E$13</f>
        <v>อ่างเก็บน้ำบ้านแม่แก่ง ต.แม่ถอด อ.เถิน จ.ลำปาง</v>
      </c>
      <c r="C155" s="54" t="str">
        <f>[38]รายการสรุป!$I$9</f>
        <v>0700349053420194</v>
      </c>
      <c r="D155" s="55" t="s">
        <v>23</v>
      </c>
      <c r="E155" s="52">
        <f t="shared" si="547"/>
        <v>104300</v>
      </c>
      <c r="F155" s="52">
        <v>0</v>
      </c>
      <c r="G155" s="53">
        <f>[38]รายการสรุป!$J$13</f>
        <v>104300</v>
      </c>
      <c r="H155" s="52">
        <f t="shared" si="548"/>
        <v>104193.78</v>
      </c>
      <c r="I155" s="52">
        <f t="shared" si="549"/>
        <v>99.898159156279959</v>
      </c>
      <c r="J155" s="52">
        <v>0</v>
      </c>
      <c r="K155" s="52">
        <f>8993.78+95200</f>
        <v>104193.78</v>
      </c>
      <c r="L155" s="52">
        <f t="shared" si="550"/>
        <v>0</v>
      </c>
      <c r="M155" s="52">
        <f t="shared" si="551"/>
        <v>0</v>
      </c>
      <c r="N155" s="52">
        <v>0</v>
      </c>
      <c r="O155" s="52">
        <v>0</v>
      </c>
      <c r="P155" s="52">
        <f t="shared" si="552"/>
        <v>106.22000000000116</v>
      </c>
      <c r="Q155" s="52">
        <f t="shared" si="553"/>
        <v>0.10184084372003947</v>
      </c>
      <c r="R155" s="52">
        <f t="shared" si="554"/>
        <v>0</v>
      </c>
      <c r="S155" s="52">
        <f t="shared" si="555"/>
        <v>106.22000000000116</v>
      </c>
    </row>
    <row r="156" spans="1:19" ht="31.5" customHeight="1" x14ac:dyDescent="0.5">
      <c r="A156" s="9">
        <v>125</v>
      </c>
      <c r="B156" s="11" t="str">
        <f>[37]รายการสรุป!$E$14</f>
        <v>อ่างเก็บน้ำห้วยแม่ตีบ ต.จางเหนือ อ.แม่เมาะ จ.ลำปาง</v>
      </c>
      <c r="C156" s="54" t="str">
        <f>[37]รายการสรุป!$I$14</f>
        <v>0700349053420194</v>
      </c>
      <c r="D156" s="55" t="s">
        <v>86</v>
      </c>
      <c r="E156" s="52">
        <f t="shared" ref="E156" si="556">F156+G156</f>
        <v>585600</v>
      </c>
      <c r="F156" s="52">
        <v>0</v>
      </c>
      <c r="G156" s="53">
        <f>[37]รายการสรุป!$J$14</f>
        <v>585600</v>
      </c>
      <c r="H156" s="52">
        <f t="shared" ref="H156" si="557">J156+K156</f>
        <v>302751.42</v>
      </c>
      <c r="I156" s="52">
        <f t="shared" ref="I156" si="558">H156*100/E156</f>
        <v>51.69935450819672</v>
      </c>
      <c r="J156" s="52">
        <v>0</v>
      </c>
      <c r="K156" s="52">
        <f>12886+1480+90975+99810+2140+69040.42+5180+21240</f>
        <v>302751.42</v>
      </c>
      <c r="L156" s="52">
        <f t="shared" ref="L156" si="559">N156+O156</f>
        <v>0</v>
      </c>
      <c r="M156" s="52">
        <f t="shared" ref="M156" si="560">L156*100/E156</f>
        <v>0</v>
      </c>
      <c r="N156" s="52">
        <v>0</v>
      </c>
      <c r="O156" s="52">
        <v>0</v>
      </c>
      <c r="P156" s="52">
        <f t="shared" ref="P156" si="561">R156+S156</f>
        <v>282848.58</v>
      </c>
      <c r="Q156" s="52">
        <f t="shared" ref="Q156" si="562">P156*100/E156</f>
        <v>48.30064549180328</v>
      </c>
      <c r="R156" s="52">
        <f t="shared" ref="R156" si="563">F156-J156-N156</f>
        <v>0</v>
      </c>
      <c r="S156" s="52">
        <f t="shared" ref="S156" si="564">G156-K156-O156</f>
        <v>282848.58</v>
      </c>
    </row>
    <row r="157" spans="1:19" ht="31.5" customHeight="1" x14ac:dyDescent="0.5">
      <c r="A157" s="9">
        <v>126</v>
      </c>
      <c r="B157" s="11" t="str">
        <f>[37]รายการสรุป!$E$15</f>
        <v>อ่างเก็บน้ำห้วยต้นผึ้ง ต.แม่นาเรือ อ.เมือง จ.พะเยา</v>
      </c>
      <c r="C157" s="54" t="str">
        <f>[37]รายการสรุป!$I$15</f>
        <v>0700349053420194</v>
      </c>
      <c r="D157" s="55" t="s">
        <v>86</v>
      </c>
      <c r="E157" s="52">
        <f t="shared" ref="E157" si="565">F157+G157</f>
        <v>585600</v>
      </c>
      <c r="F157" s="52">
        <v>0</v>
      </c>
      <c r="G157" s="53">
        <f>[37]รายการสรุป!$J$15</f>
        <v>585600</v>
      </c>
      <c r="H157" s="52">
        <f t="shared" ref="H157" si="566">J157+K157</f>
        <v>585598.9</v>
      </c>
      <c r="I157" s="52">
        <f t="shared" ref="I157" si="567">H157*100/E157</f>
        <v>99.99981215846995</v>
      </c>
      <c r="J157" s="52">
        <v>0</v>
      </c>
      <c r="K157" s="52">
        <f>33328.4+4420+64379.25+2140+10320+55545+94910+100290+9360+37029.3+21156+2320+7880+63878.85+7880+40052.1+28250+2460</f>
        <v>585598.9</v>
      </c>
      <c r="L157" s="52">
        <f t="shared" ref="L157" si="568">N157+O157</f>
        <v>0</v>
      </c>
      <c r="M157" s="52">
        <f t="shared" ref="M157" si="569">L157*100/E157</f>
        <v>0</v>
      </c>
      <c r="N157" s="52">
        <v>0</v>
      </c>
      <c r="O157" s="52">
        <v>0</v>
      </c>
      <c r="P157" s="52">
        <f t="shared" ref="P157:P159" si="570">R157+S157</f>
        <v>1.0999999999767169</v>
      </c>
      <c r="Q157" s="52">
        <f t="shared" ref="Q157" si="571">P157*100/E157</f>
        <v>1.8784153005066886E-4</v>
      </c>
      <c r="R157" s="52">
        <f t="shared" ref="R157:R159" si="572">F157-J157-N157</f>
        <v>0</v>
      </c>
      <c r="S157" s="52">
        <f t="shared" ref="S157:S159" si="573">G157-K157-O157</f>
        <v>1.0999999999767169</v>
      </c>
    </row>
    <row r="158" spans="1:19" ht="31.5" customHeight="1" x14ac:dyDescent="0.5">
      <c r="A158" s="9"/>
      <c r="B158" s="18" t="s">
        <v>90</v>
      </c>
      <c r="C158" s="18"/>
      <c r="D158" s="24"/>
      <c r="E158" s="19">
        <f>F158+G158</f>
        <v>2405800</v>
      </c>
      <c r="F158" s="19">
        <f>SUM(F159:F160)</f>
        <v>0</v>
      </c>
      <c r="G158" s="19">
        <f>SUM(G159:G160)</f>
        <v>2405800</v>
      </c>
      <c r="H158" s="19">
        <f>J158+K158</f>
        <v>526906.80000000005</v>
      </c>
      <c r="I158" s="19">
        <f>H158*100/E158</f>
        <v>21.901521323468288</v>
      </c>
      <c r="J158" s="19">
        <f>SUM(J159:J160)</f>
        <v>0</v>
      </c>
      <c r="K158" s="19">
        <f>SUM(K159:K160)</f>
        <v>526906.80000000005</v>
      </c>
      <c r="L158" s="19">
        <f>N158+O158</f>
        <v>0</v>
      </c>
      <c r="M158" s="19">
        <f>L158*100/E158</f>
        <v>0</v>
      </c>
      <c r="N158" s="19">
        <f>SUM(N159:N160)</f>
        <v>0</v>
      </c>
      <c r="O158" s="19">
        <f>SUM(O159:O160)</f>
        <v>0</v>
      </c>
      <c r="P158" s="19">
        <f t="shared" si="570"/>
        <v>1878893.2</v>
      </c>
      <c r="Q158" s="19">
        <f>P158*100/E158</f>
        <v>78.098478676531712</v>
      </c>
      <c r="R158" s="19">
        <f t="shared" si="572"/>
        <v>0</v>
      </c>
      <c r="S158" s="19">
        <f t="shared" si="573"/>
        <v>1878893.2</v>
      </c>
    </row>
    <row r="159" spans="1:19" ht="43.5" customHeight="1" x14ac:dyDescent="0.5">
      <c r="A159" s="9">
        <v>127</v>
      </c>
      <c r="B159" s="11" t="str">
        <f>[39]รายการสรุป!$E$5</f>
        <v>ค่าสำรวจธรณีและปฐพีวิทยาอ่างเก็บน้ำห้วยแม่เคียนอันเนื่องมาจากพระราชดำริ ต.ตงเปา อ.งาว จ.ลำปาง(หัวงานและอาคารประกอบ)</v>
      </c>
      <c r="C159" s="54" t="str">
        <f>[39]รายการสรุป!$I$5</f>
        <v>0700349053410101</v>
      </c>
      <c r="D159" s="55"/>
      <c r="E159" s="52">
        <f t="shared" ref="E159" si="574">F159+G159</f>
        <v>1432400</v>
      </c>
      <c r="F159" s="52">
        <v>0</v>
      </c>
      <c r="G159" s="53">
        <f>[39]รายการสรุป!$J$5</f>
        <v>1432400</v>
      </c>
      <c r="H159" s="52">
        <f t="shared" ref="H159" si="575">J159+K159</f>
        <v>526906.80000000005</v>
      </c>
      <c r="I159" s="52">
        <f t="shared" ref="I159" si="576">H159*100/E159</f>
        <v>36.78489248813181</v>
      </c>
      <c r="J159" s="52">
        <v>0</v>
      </c>
      <c r="K159" s="52">
        <f>79696.8+367440+79770</f>
        <v>526906.80000000005</v>
      </c>
      <c r="L159" s="52">
        <f t="shared" ref="L159" si="577">N159+O159</f>
        <v>0</v>
      </c>
      <c r="M159" s="52">
        <f t="shared" ref="M159" si="578">L159*100/E159</f>
        <v>0</v>
      </c>
      <c r="N159" s="52">
        <v>0</v>
      </c>
      <c r="O159" s="52">
        <v>0</v>
      </c>
      <c r="P159" s="52">
        <f t="shared" si="570"/>
        <v>905493.2</v>
      </c>
      <c r="Q159" s="52">
        <f t="shared" ref="Q159" si="579">P159*100/E159</f>
        <v>63.21510751186819</v>
      </c>
      <c r="R159" s="52">
        <f t="shared" si="572"/>
        <v>0</v>
      </c>
      <c r="S159" s="52">
        <f t="shared" si="573"/>
        <v>905493.2</v>
      </c>
    </row>
    <row r="160" spans="1:19" ht="43.5" customHeight="1" x14ac:dyDescent="0.5">
      <c r="A160" s="9">
        <v>128</v>
      </c>
      <c r="B160" s="11" t="str">
        <f>[39]รายการสรุป!$E$6</f>
        <v>ค่าสำรวจธรณีและปฐพีวิทยาอ่างเก็บน้ำแม่สุยอันเนื่องมาจากพระราชดำริ ต.บ้านค่า อ.เมือง จ.ลำปาง(หัวงานและอาคารประกอบ)</v>
      </c>
      <c r="C160" s="54" t="str">
        <f>[39]รายการสรุป!$I$6</f>
        <v>0700349053410102</v>
      </c>
      <c r="D160" s="55"/>
      <c r="E160" s="52">
        <f t="shared" ref="E160" si="580">F160+G160</f>
        <v>973400</v>
      </c>
      <c r="F160" s="52">
        <v>0</v>
      </c>
      <c r="G160" s="53">
        <f>[39]รายการสรุป!$J$6</f>
        <v>973400</v>
      </c>
      <c r="H160" s="52">
        <f t="shared" ref="H160" si="581">J160+K160</f>
        <v>0</v>
      </c>
      <c r="I160" s="52">
        <f t="shared" ref="I160" si="582">H160*100/E160</f>
        <v>0</v>
      </c>
      <c r="J160" s="52">
        <v>0</v>
      </c>
      <c r="K160" s="52">
        <v>0</v>
      </c>
      <c r="L160" s="52">
        <f t="shared" ref="L160" si="583">N160+O160</f>
        <v>0</v>
      </c>
      <c r="M160" s="52">
        <f t="shared" ref="M160" si="584">L160*100/E160</f>
        <v>0</v>
      </c>
      <c r="N160" s="52">
        <v>0</v>
      </c>
      <c r="O160" s="52">
        <v>0</v>
      </c>
      <c r="P160" s="52">
        <f t="shared" ref="P160" si="585">R160+S160</f>
        <v>973400</v>
      </c>
      <c r="Q160" s="52">
        <f t="shared" ref="Q160" si="586">P160*100/E160</f>
        <v>100</v>
      </c>
      <c r="R160" s="52">
        <f t="shared" ref="R160" si="587">F160-J160-N160</f>
        <v>0</v>
      </c>
      <c r="S160" s="52">
        <f t="shared" ref="S160" si="588">G160-K160-O160</f>
        <v>973400</v>
      </c>
    </row>
    <row r="161" spans="1:19" ht="31.5" customHeight="1" x14ac:dyDescent="0.5">
      <c r="A161" s="9"/>
      <c r="B161" s="18" t="s">
        <v>43</v>
      </c>
      <c r="C161" s="18"/>
      <c r="D161" s="24"/>
      <c r="E161" s="19">
        <f>F161+G161</f>
        <v>4316700</v>
      </c>
      <c r="F161" s="19">
        <f>SUM(F162:F166)</f>
        <v>0</v>
      </c>
      <c r="G161" s="19">
        <f>SUM(G162:G168)</f>
        <v>4316700</v>
      </c>
      <c r="H161" s="19">
        <f>J161+K161</f>
        <v>4304197.6899999995</v>
      </c>
      <c r="I161" s="19">
        <f>H161*100/E161</f>
        <v>99.710373433409771</v>
      </c>
      <c r="J161" s="19">
        <f>SUM(J162:J164)</f>
        <v>0</v>
      </c>
      <c r="K161" s="19">
        <f>SUM(K162:K168)</f>
        <v>4304197.6899999995</v>
      </c>
      <c r="L161" s="19">
        <f>N161+O161</f>
        <v>0</v>
      </c>
      <c r="M161" s="19">
        <f>L161*100/E161</f>
        <v>0</v>
      </c>
      <c r="N161" s="19">
        <f>SUM(N162:N164)</f>
        <v>0</v>
      </c>
      <c r="O161" s="19">
        <f>SUM(O162:O166)</f>
        <v>0</v>
      </c>
      <c r="P161" s="19">
        <f t="shared" si="534"/>
        <v>12502.310000000522</v>
      </c>
      <c r="Q161" s="19">
        <f>P161*100/E161</f>
        <v>0.28962656659023145</v>
      </c>
      <c r="R161" s="19">
        <f t="shared" si="536"/>
        <v>0</v>
      </c>
      <c r="S161" s="19">
        <f t="shared" si="537"/>
        <v>12502.310000000522</v>
      </c>
    </row>
    <row r="162" spans="1:19" ht="31.5" customHeight="1" x14ac:dyDescent="0.5">
      <c r="A162" s="9">
        <v>129</v>
      </c>
      <c r="B162" s="11" t="str">
        <f>[40]รายการสรุป!$E$5</f>
        <v>โครงการอ่างเก็บน้ำแม่พริก(ผาวิ่งชู้) จ.ลำปาง(งานปักหลักเขตชลประทาน)</v>
      </c>
      <c r="C162" s="54" t="str">
        <f>[41]รายการสรุป!$I$5</f>
        <v>0700349053200046</v>
      </c>
      <c r="D162" s="55" t="s">
        <v>44</v>
      </c>
      <c r="E162" s="52">
        <f t="shared" ref="E162" si="589">F162+G162</f>
        <v>342100</v>
      </c>
      <c r="F162" s="52">
        <v>0</v>
      </c>
      <c r="G162" s="53">
        <f>[40]รายการสรุป!$J$5</f>
        <v>342100</v>
      </c>
      <c r="H162" s="52">
        <f t="shared" ref="H162" si="590">J162+K162</f>
        <v>342006.65</v>
      </c>
      <c r="I162" s="52">
        <f t="shared" ref="I162" si="591">H162*100/E162</f>
        <v>99.972712657117796</v>
      </c>
      <c r="J162" s="52">
        <v>0</v>
      </c>
      <c r="K162" s="52">
        <f>167968.65+105798+65920+2320</f>
        <v>342006.65</v>
      </c>
      <c r="L162" s="52">
        <f t="shared" ref="L162" si="592">N162+O162</f>
        <v>0</v>
      </c>
      <c r="M162" s="52">
        <f t="shared" ref="M162" si="593">L162*100/E162</f>
        <v>0</v>
      </c>
      <c r="N162" s="52">
        <v>0</v>
      </c>
      <c r="O162" s="52">
        <v>0</v>
      </c>
      <c r="P162" s="52">
        <f t="shared" ref="P162" si="594">R162+S162</f>
        <v>93.349999999976717</v>
      </c>
      <c r="Q162" s="52">
        <f t="shared" ref="Q162" si="595">P162*100/E162</f>
        <v>2.7287342882191382E-2</v>
      </c>
      <c r="R162" s="52">
        <f t="shared" ref="R162" si="596">F162-J162-N162</f>
        <v>0</v>
      </c>
      <c r="S162" s="52">
        <f t="shared" ref="S162" si="597">G162-K162-O162</f>
        <v>93.349999999976717</v>
      </c>
    </row>
    <row r="163" spans="1:19" ht="31.5" customHeight="1" x14ac:dyDescent="0.5">
      <c r="A163" s="9">
        <v>130</v>
      </c>
      <c r="B163" s="11" t="str">
        <f>[40]รายการสรุป!$E$6</f>
        <v>โครงการส่งน้ำและบำรุงรักษากิ่วลม-กิ่งคอหมา จ.ลำปาง(งานซ่อมเขตชลประทาน)</v>
      </c>
      <c r="C163" s="54" t="str">
        <f>[41]รายการสรุป!$I$6</f>
        <v>0700349053200046</v>
      </c>
      <c r="D163" s="55" t="s">
        <v>44</v>
      </c>
      <c r="E163" s="52">
        <f t="shared" ref="E163:E164" si="598">F163+G163</f>
        <v>1602000</v>
      </c>
      <c r="F163" s="52">
        <v>0</v>
      </c>
      <c r="G163" s="53">
        <f>[40]รายการสรุป!$J$6</f>
        <v>1602000</v>
      </c>
      <c r="H163" s="52">
        <f t="shared" ref="H163" si="599">J163+K163</f>
        <v>1597986</v>
      </c>
      <c r="I163" s="52">
        <f t="shared" ref="I163" si="600">H163*100/E163</f>
        <v>99.749438202247191</v>
      </c>
      <c r="J163" s="52">
        <v>0</v>
      </c>
      <c r="K163" s="52">
        <f>90212.5+29600+378986.1+30975.8+173600+241824+15620+12703+28365+120320+288731.6+181368+5680</f>
        <v>1597986</v>
      </c>
      <c r="L163" s="52">
        <f t="shared" ref="L163:L164" si="601">N163+O163</f>
        <v>0</v>
      </c>
      <c r="M163" s="52">
        <f t="shared" ref="M163:M164" si="602">L163*100/E163</f>
        <v>0</v>
      </c>
      <c r="N163" s="52">
        <v>0</v>
      </c>
      <c r="O163" s="52">
        <v>0</v>
      </c>
      <c r="P163" s="52">
        <f t="shared" ref="P163:P169" si="603">R163+S163</f>
        <v>4014</v>
      </c>
      <c r="Q163" s="52">
        <f t="shared" ref="Q163:Q164" si="604">P163*100/E163</f>
        <v>0.25056179775280901</v>
      </c>
      <c r="R163" s="52">
        <f t="shared" ref="R163:R169" si="605">F163-J163-N163</f>
        <v>0</v>
      </c>
      <c r="S163" s="52">
        <f t="shared" ref="S163:S169" si="606">G163-K163-O163</f>
        <v>4014</v>
      </c>
    </row>
    <row r="164" spans="1:19" ht="31.5" customHeight="1" x14ac:dyDescent="0.5">
      <c r="A164" s="9">
        <v>131</v>
      </c>
      <c r="B164" s="11" t="str">
        <f>[40]รายการสรุป!$E$7</f>
        <v>โครงการชลประทานเชียงราย(โครงการพัฒนาเกษตรแม่สาย) จ.เชียงราย(งานซ่อมเขตชลประทาน)</v>
      </c>
      <c r="C164" s="54" t="str">
        <f>[41]รายการสรุป!$I$7</f>
        <v>0700349053200046</v>
      </c>
      <c r="D164" s="55" t="s">
        <v>44</v>
      </c>
      <c r="E164" s="52">
        <f t="shared" si="598"/>
        <v>1450000</v>
      </c>
      <c r="F164" s="52">
        <v>0</v>
      </c>
      <c r="G164" s="53">
        <f>[40]รายการสรุป!$J$7</f>
        <v>1450000</v>
      </c>
      <c r="H164" s="52">
        <f t="shared" ref="H164" si="607">J164+K164</f>
        <v>1444913.41</v>
      </c>
      <c r="I164" s="52">
        <f t="shared" ref="I164" si="608">H164*100/E164</f>
        <v>99.649200689655174</v>
      </c>
      <c r="J164" s="52">
        <v>0</v>
      </c>
      <c r="K164" s="52">
        <f>126356.7+60456+30995.91+49580+2560+15620+12703+28365+360936+2320+241824+6720+163040+144364.8+67040+7760+120912+3360</f>
        <v>1444913.41</v>
      </c>
      <c r="L164" s="52">
        <f t="shared" si="601"/>
        <v>0</v>
      </c>
      <c r="M164" s="52">
        <f t="shared" si="602"/>
        <v>0</v>
      </c>
      <c r="N164" s="52">
        <v>0</v>
      </c>
      <c r="O164" s="52">
        <v>0</v>
      </c>
      <c r="P164" s="52">
        <f t="shared" si="603"/>
        <v>5086.5900000000838</v>
      </c>
      <c r="Q164" s="52">
        <f t="shared" si="604"/>
        <v>0.35079931034483336</v>
      </c>
      <c r="R164" s="52">
        <f t="shared" si="605"/>
        <v>0</v>
      </c>
      <c r="S164" s="52">
        <f t="shared" si="606"/>
        <v>5086.5900000000838</v>
      </c>
    </row>
    <row r="165" spans="1:19" ht="31.5" customHeight="1" x14ac:dyDescent="0.5">
      <c r="A165" s="9">
        <v>132</v>
      </c>
      <c r="B165" s="11" t="str">
        <f>[41]รายการสรุป!$E$8</f>
        <v>โครงการระบบชลประทานกิ่วลม 3 (งานซ่อมเขตชลประทาน)</v>
      </c>
      <c r="C165" s="54" t="str">
        <f>[41]รายการสรุป!$I$8</f>
        <v>0700349053200046</v>
      </c>
      <c r="D165" s="55" t="s">
        <v>67</v>
      </c>
      <c r="E165" s="52">
        <f t="shared" ref="E165" si="609">F165+G165</f>
        <v>386700</v>
      </c>
      <c r="F165" s="52">
        <v>0</v>
      </c>
      <c r="G165" s="53">
        <f>[41]รายการสรุป!$J$8</f>
        <v>386700</v>
      </c>
      <c r="H165" s="52">
        <f t="shared" ref="H165" si="610">J165+K165</f>
        <v>386697.68</v>
      </c>
      <c r="I165" s="52">
        <f t="shared" ref="I165" si="611">H165*100/E165</f>
        <v>99.999400051719675</v>
      </c>
      <c r="J165" s="52">
        <v>0</v>
      </c>
      <c r="K165" s="52">
        <f>49978.88+144366.8+67040+120912+4400</f>
        <v>386697.68</v>
      </c>
      <c r="L165" s="52">
        <f t="shared" ref="L165" si="612">N165+O165</f>
        <v>0</v>
      </c>
      <c r="M165" s="52">
        <f t="shared" ref="M165" si="613">L165*100/E165</f>
        <v>0</v>
      </c>
      <c r="N165" s="52">
        <v>0</v>
      </c>
      <c r="O165" s="52">
        <v>0</v>
      </c>
      <c r="P165" s="52">
        <f t="shared" ref="P165" si="614">R165+S165</f>
        <v>2.3200000000069849</v>
      </c>
      <c r="Q165" s="52">
        <f t="shared" ref="Q165" si="615">P165*100/E165</f>
        <v>5.9994828032246825E-4</v>
      </c>
      <c r="R165" s="52">
        <f t="shared" ref="R165" si="616">F165-J165-N165</f>
        <v>0</v>
      </c>
      <c r="S165" s="52">
        <f t="shared" ref="S165" si="617">G165-K165-O165</f>
        <v>2.3200000000069849</v>
      </c>
    </row>
    <row r="166" spans="1:19" ht="31.5" customHeight="1" x14ac:dyDescent="0.5">
      <c r="A166" s="9">
        <v>133</v>
      </c>
      <c r="B166" s="11" t="str">
        <f>[41]รายการสรุป!$E$9</f>
        <v>โครงการอ่างเก็บน้ำห้วยแม่เมาะ อันเนื่องมาจากพระราชดำริ จ.พะเยา(งานปักหลักเขตชลประทาน)</v>
      </c>
      <c r="C166" s="54" t="str">
        <f>[41]รายการสรุป!$I$9</f>
        <v>0700349053200046</v>
      </c>
      <c r="D166" s="55" t="s">
        <v>73</v>
      </c>
      <c r="E166" s="52">
        <f t="shared" ref="E166" si="618">F166+G166</f>
        <v>268800</v>
      </c>
      <c r="F166" s="52">
        <v>0</v>
      </c>
      <c r="G166" s="53">
        <f>[41]รายการสรุป!$J$9</f>
        <v>268800</v>
      </c>
      <c r="H166" s="52">
        <f t="shared" ref="H166" si="619">J166+K166</f>
        <v>267813.34999999998</v>
      </c>
      <c r="I166" s="52">
        <f t="shared" ref="I166" si="620">H166*100/E166</f>
        <v>99.632942708333317</v>
      </c>
      <c r="J166" s="52">
        <v>0</v>
      </c>
      <c r="K166" s="52">
        <f>22974.85+90254.5+37440+15620+12703+28365+60456</f>
        <v>267813.34999999998</v>
      </c>
      <c r="L166" s="52">
        <f t="shared" ref="L166" si="621">N166+O166</f>
        <v>0</v>
      </c>
      <c r="M166" s="52">
        <f t="shared" ref="M166" si="622">L166*100/E166</f>
        <v>0</v>
      </c>
      <c r="N166" s="52">
        <v>0</v>
      </c>
      <c r="O166" s="52">
        <v>0</v>
      </c>
      <c r="P166" s="52">
        <f t="shared" ref="P166" si="623">R166+S166</f>
        <v>986.65000000002328</v>
      </c>
      <c r="Q166" s="52">
        <f t="shared" ref="Q166" si="624">P166*100/E166</f>
        <v>0.36705729166667533</v>
      </c>
      <c r="R166" s="52">
        <f t="shared" ref="R166" si="625">F166-J166-N166</f>
        <v>0</v>
      </c>
      <c r="S166" s="52">
        <f t="shared" ref="S166" si="626">G166-K166-O166</f>
        <v>986.65000000002328</v>
      </c>
    </row>
    <row r="167" spans="1:19" ht="31.5" customHeight="1" x14ac:dyDescent="0.5">
      <c r="A167" s="9">
        <v>134</v>
      </c>
      <c r="B167" s="11" t="str">
        <f>[41]รายการสรุป!$E$10</f>
        <v>โครงการประตูระบายน้ำน้ำอิงบ้านร่องวิว จ.เชียงราย(งานรังวัดที่ดินเพื่อการชลประทาน)</v>
      </c>
      <c r="C167" s="54" t="str">
        <f>[41]รายการสรุป!$I$10</f>
        <v>0700349053200046</v>
      </c>
      <c r="D167" s="55" t="s">
        <v>84</v>
      </c>
      <c r="E167" s="52">
        <f t="shared" ref="E167" si="627">F167+G167</f>
        <v>40925</v>
      </c>
      <c r="F167" s="52">
        <v>0</v>
      </c>
      <c r="G167" s="53">
        <f>[41]รายการสรุป!$J$10</f>
        <v>40925</v>
      </c>
      <c r="H167" s="52">
        <f t="shared" ref="H167" si="628">J167+K167</f>
        <v>40925</v>
      </c>
      <c r="I167" s="52">
        <f t="shared" ref="I167" si="629">H167*100/E167</f>
        <v>100</v>
      </c>
      <c r="J167" s="52">
        <v>0</v>
      </c>
      <c r="K167" s="52">
        <f>40925</f>
        <v>40925</v>
      </c>
      <c r="L167" s="52">
        <f t="shared" ref="L167" si="630">N167+O167</f>
        <v>0</v>
      </c>
      <c r="M167" s="52">
        <f t="shared" ref="M167" si="631">L167*100/E167</f>
        <v>0</v>
      </c>
      <c r="N167" s="52">
        <v>0</v>
      </c>
      <c r="O167" s="52">
        <v>0</v>
      </c>
      <c r="P167" s="52">
        <f t="shared" ref="P167" si="632">R167+S167</f>
        <v>0</v>
      </c>
      <c r="Q167" s="52">
        <f t="shared" ref="Q167" si="633">P167*100/E167</f>
        <v>0</v>
      </c>
      <c r="R167" s="52">
        <f t="shared" ref="R167" si="634">F167-J167-N167</f>
        <v>0</v>
      </c>
      <c r="S167" s="52">
        <f t="shared" ref="S167" si="635">G167-K167-O167</f>
        <v>0</v>
      </c>
    </row>
    <row r="168" spans="1:19" ht="31.5" customHeight="1" x14ac:dyDescent="0.5">
      <c r="A168" s="9">
        <v>135</v>
      </c>
      <c r="B168" s="11" t="str">
        <f>[41]รายการสรุป!$E$11</f>
        <v>โครงการชลประทานเชียงราย(โครงการฝายเชียงราย) จ.เชียงราย(งานซ่อมเขตชลประทาน)</v>
      </c>
      <c r="C168" s="54" t="str">
        <f>[41]รายการสรุป!$I$11</f>
        <v>0700349053200046</v>
      </c>
      <c r="D168" s="55" t="s">
        <v>84</v>
      </c>
      <c r="E168" s="52">
        <f t="shared" ref="E168" si="636">F168+G168</f>
        <v>226175</v>
      </c>
      <c r="F168" s="52">
        <v>0</v>
      </c>
      <c r="G168" s="53">
        <f>[41]รายการสรุป!$J$11</f>
        <v>226175</v>
      </c>
      <c r="H168" s="52">
        <f t="shared" ref="H168" si="637">J168+K168</f>
        <v>223855.6</v>
      </c>
      <c r="I168" s="52">
        <f t="shared" ref="I168" si="638">H168*100/E168</f>
        <v>98.974510887587044</v>
      </c>
      <c r="J168" s="52">
        <v>0</v>
      </c>
      <c r="K168" s="52">
        <f>13995+108264.6+41140+60456</f>
        <v>223855.6</v>
      </c>
      <c r="L168" s="52">
        <f t="shared" ref="L168" si="639">N168+O168</f>
        <v>0</v>
      </c>
      <c r="M168" s="52">
        <f t="shared" ref="M168" si="640">L168*100/E168</f>
        <v>0</v>
      </c>
      <c r="N168" s="52">
        <v>0</v>
      </c>
      <c r="O168" s="52">
        <v>0</v>
      </c>
      <c r="P168" s="52">
        <f t="shared" ref="P168" si="641">R168+S168</f>
        <v>2319.3999999999942</v>
      </c>
      <c r="Q168" s="52">
        <f t="shared" ref="Q168" si="642">P168*100/E168</f>
        <v>1.0254891124129519</v>
      </c>
      <c r="R168" s="52">
        <f t="shared" ref="R168" si="643">F168-J168-N168</f>
        <v>0</v>
      </c>
      <c r="S168" s="52">
        <f t="shared" ref="S168" si="644">G168-K168-O168</f>
        <v>2319.3999999999942</v>
      </c>
    </row>
    <row r="169" spans="1:19" ht="31.5" customHeight="1" x14ac:dyDescent="0.5">
      <c r="A169" s="9"/>
      <c r="B169" s="18" t="s">
        <v>46</v>
      </c>
      <c r="C169" s="18"/>
      <c r="D169" s="24"/>
      <c r="E169" s="19">
        <f>F169+G169</f>
        <v>3703650</v>
      </c>
      <c r="F169" s="19">
        <f>F170</f>
        <v>0</v>
      </c>
      <c r="G169" s="19">
        <f>G170</f>
        <v>3703650</v>
      </c>
      <c r="H169" s="19">
        <f>J169+K169</f>
        <v>3358716.93</v>
      </c>
      <c r="I169" s="19">
        <f>H169*100/E169</f>
        <v>90.686672066744961</v>
      </c>
      <c r="J169" s="19">
        <f>J170</f>
        <v>0</v>
      </c>
      <c r="K169" s="19">
        <f>K170</f>
        <v>3358716.93</v>
      </c>
      <c r="L169" s="19">
        <f>N169+O169</f>
        <v>0</v>
      </c>
      <c r="M169" s="19">
        <f>L169*100/E169</f>
        <v>0</v>
      </c>
      <c r="N169" s="19">
        <f>N170</f>
        <v>0</v>
      </c>
      <c r="O169" s="19">
        <f>O170</f>
        <v>0</v>
      </c>
      <c r="P169" s="19">
        <f t="shared" si="603"/>
        <v>344933.06999999983</v>
      </c>
      <c r="Q169" s="19">
        <f>P169*100/E169</f>
        <v>9.3133279332550281</v>
      </c>
      <c r="R169" s="19">
        <f t="shared" si="605"/>
        <v>0</v>
      </c>
      <c r="S169" s="19">
        <f t="shared" si="606"/>
        <v>344933.06999999983</v>
      </c>
    </row>
    <row r="170" spans="1:19" ht="32.25" customHeight="1" x14ac:dyDescent="0.5">
      <c r="A170" s="9">
        <v>136</v>
      </c>
      <c r="B170" s="50" t="str">
        <f>[42]รายการสรุป!$E$5</f>
        <v>ค่าใช้จ่ายในการบริหารงานจัดหาที่ดิน  ฝ่ายจัดหาที่ดิน 2</v>
      </c>
      <c r="C170" s="54" t="str">
        <f>[42]รายการสรุป!$I$5</f>
        <v>0700349053200062</v>
      </c>
      <c r="D170" s="55" t="s">
        <v>47</v>
      </c>
      <c r="E170" s="52">
        <f t="shared" ref="E170:E174" si="645">F170+G170</f>
        <v>3703650</v>
      </c>
      <c r="F170" s="52">
        <v>0</v>
      </c>
      <c r="G170" s="53">
        <f>[43]รายการสรุป!$J$5</f>
        <v>3703650</v>
      </c>
      <c r="H170" s="52">
        <f t="shared" ref="H170:H172" si="646">J170+K170</f>
        <v>3358716.93</v>
      </c>
      <c r="I170" s="52">
        <f t="shared" ref="I170:I171" si="647">H170*100/E170</f>
        <v>90.686672066744961</v>
      </c>
      <c r="J170" s="52">
        <v>0</v>
      </c>
      <c r="K170" s="52">
        <f>103630+10000+10000+75100+5200+88611+80842.3+211224+10000+91548.85+193600+520+99582.35+100+174640+900+95124+211200+110905.7+20000+354040+114817+83975.63+354042+1720+20000+12075+59272+49647+1120+10000+163740+121468.1+420072</f>
        <v>3358716.93</v>
      </c>
      <c r="L170" s="52">
        <f t="shared" ref="L170" si="648">N170+O170</f>
        <v>0</v>
      </c>
      <c r="M170" s="52">
        <f t="shared" ref="M170:M171" si="649">L170*100/E170</f>
        <v>0</v>
      </c>
      <c r="N170" s="52">
        <v>0</v>
      </c>
      <c r="O170" s="52">
        <v>0</v>
      </c>
      <c r="P170" s="52">
        <f t="shared" ref="P170" si="650">R170+S170</f>
        <v>344933.06999999983</v>
      </c>
      <c r="Q170" s="52">
        <f t="shared" ref="Q170:Q171" si="651">P170*100/E170</f>
        <v>9.3133279332550281</v>
      </c>
      <c r="R170" s="52">
        <f t="shared" ref="R170" si="652">F170-J170-N170</f>
        <v>0</v>
      </c>
      <c r="S170" s="52">
        <f t="shared" ref="S170" si="653">G170-K170-O170</f>
        <v>344933.06999999983</v>
      </c>
    </row>
    <row r="171" spans="1:19" ht="29.25" customHeight="1" x14ac:dyDescent="0.5">
      <c r="A171" s="9"/>
      <c r="B171" s="18" t="s">
        <v>66</v>
      </c>
      <c r="C171" s="18"/>
      <c r="D171" s="24"/>
      <c r="E171" s="19">
        <f>F171+G171</f>
        <v>891700</v>
      </c>
      <c r="F171" s="19">
        <f>SUM(F172:F174)</f>
        <v>0</v>
      </c>
      <c r="G171" s="19">
        <f>SUM(G172:G174)</f>
        <v>891700</v>
      </c>
      <c r="H171" s="19">
        <f>J171+K171</f>
        <v>529259.5</v>
      </c>
      <c r="I171" s="19">
        <f t="shared" si="647"/>
        <v>59.353986766849836</v>
      </c>
      <c r="J171" s="19">
        <f>SUM(J172:J174)</f>
        <v>0</v>
      </c>
      <c r="K171" s="19">
        <f>SUM(K172:K174)</f>
        <v>529259.5</v>
      </c>
      <c r="L171" s="19">
        <f>N171+O171</f>
        <v>0</v>
      </c>
      <c r="M171" s="19">
        <f t="shared" si="649"/>
        <v>0</v>
      </c>
      <c r="N171" s="19">
        <f>SUM(N172:N174)</f>
        <v>0</v>
      </c>
      <c r="O171" s="19">
        <f>SUM(O172:O174)</f>
        <v>0</v>
      </c>
      <c r="P171" s="19">
        <f>R171+S171</f>
        <v>362440.5</v>
      </c>
      <c r="Q171" s="19">
        <f t="shared" si="651"/>
        <v>40.646013233150164</v>
      </c>
      <c r="R171" s="19">
        <f>SUM(R172:R174)</f>
        <v>0</v>
      </c>
      <c r="S171" s="19">
        <f>SUM(S172:S174)</f>
        <v>362440.5</v>
      </c>
    </row>
    <row r="172" spans="1:19" ht="32.25" customHeight="1" x14ac:dyDescent="0.5">
      <c r="A172" s="9">
        <v>137</v>
      </c>
      <c r="B172" s="50" t="str">
        <f>[44]รายการสรุป!$E$5</f>
        <v>ฝายห้วยธนูพร้อมระบบส่งน้ำ ต.ตาลชุม อ.ท่าวังผ่า จ.น่าน</v>
      </c>
      <c r="C172" s="54" t="str">
        <f>[44]รายการสรุป!$I$5</f>
        <v>0700349053420009</v>
      </c>
      <c r="D172" s="55" t="s">
        <v>61</v>
      </c>
      <c r="E172" s="52">
        <f t="shared" si="645"/>
        <v>303000</v>
      </c>
      <c r="F172" s="52">
        <v>0</v>
      </c>
      <c r="G172" s="53">
        <f>[44]รายการสรุป!$J$5</f>
        <v>303000</v>
      </c>
      <c r="H172" s="52">
        <f t="shared" si="646"/>
        <v>220358.95</v>
      </c>
      <c r="I172" s="52">
        <f t="shared" ref="I172" si="654">H172*100/E172</f>
        <v>72.725726072607259</v>
      </c>
      <c r="J172" s="52">
        <v>0</v>
      </c>
      <c r="K172" s="52">
        <f>17457.4+22218.6+16240+22264+45627.75+47770+24541.2+19600+4640</f>
        <v>220358.95</v>
      </c>
      <c r="L172" s="52">
        <f t="shared" ref="L172" si="655">N172+O172</f>
        <v>0</v>
      </c>
      <c r="M172" s="52">
        <f t="shared" ref="M172" si="656">L172*100/E172</f>
        <v>0</v>
      </c>
      <c r="N172" s="52">
        <v>0</v>
      </c>
      <c r="O172" s="52">
        <v>0</v>
      </c>
      <c r="P172" s="52">
        <f t="shared" ref="P172" si="657">R172+S172</f>
        <v>82641.049999999988</v>
      </c>
      <c r="Q172" s="52">
        <f t="shared" ref="Q172" si="658">P172*100/E172</f>
        <v>27.274273927392738</v>
      </c>
      <c r="R172" s="52">
        <f t="shared" ref="R172" si="659">F172-J172-N172</f>
        <v>0</v>
      </c>
      <c r="S172" s="52">
        <f t="shared" ref="S172" si="660">G172-K172-O172</f>
        <v>82641.049999999988</v>
      </c>
    </row>
    <row r="173" spans="1:19" ht="32.25" customHeight="1" x14ac:dyDescent="0.5">
      <c r="A173" s="9">
        <v>138</v>
      </c>
      <c r="B173" s="50" t="str">
        <f>[44]รายการสรุป!$E$6</f>
        <v>ฝายห้วยป้าก 1 พร้อมระบบส่งน้ำ ต.ตาลชุม อ.ท่าวังผา จ.น่าน</v>
      </c>
      <c r="C173" s="54" t="str">
        <f>[44]รายการสรุป!$I$6</f>
        <v>0700349053420010</v>
      </c>
      <c r="D173" s="55" t="s">
        <v>61</v>
      </c>
      <c r="E173" s="52">
        <f t="shared" si="645"/>
        <v>357500</v>
      </c>
      <c r="F173" s="52">
        <v>0</v>
      </c>
      <c r="G173" s="53">
        <f>[44]รายการสรุป!$J$6</f>
        <v>357500</v>
      </c>
      <c r="H173" s="52">
        <f t="shared" ref="H173:H174" si="661">J173+K173</f>
        <v>106867</v>
      </c>
      <c r="I173" s="52">
        <f t="shared" ref="I173:I174" si="662">H173*100/E173</f>
        <v>29.892867132867131</v>
      </c>
      <c r="J173" s="52">
        <v>0</v>
      </c>
      <c r="K173" s="52">
        <f>79987+13440+13440</f>
        <v>106867</v>
      </c>
      <c r="L173" s="52">
        <f t="shared" ref="L173:L174" si="663">N173+O173</f>
        <v>0</v>
      </c>
      <c r="M173" s="52">
        <f t="shared" ref="M173:M174" si="664">L173*100/E173</f>
        <v>0</v>
      </c>
      <c r="N173" s="52">
        <v>0</v>
      </c>
      <c r="O173" s="52">
        <v>0</v>
      </c>
      <c r="P173" s="52">
        <f t="shared" ref="P173:P174" si="665">R173+S173</f>
        <v>250633</v>
      </c>
      <c r="Q173" s="52">
        <f t="shared" ref="Q173:Q174" si="666">P173*100/E173</f>
        <v>70.107132867132862</v>
      </c>
      <c r="R173" s="52">
        <f t="shared" ref="R173:R174" si="667">F173-J173-N173</f>
        <v>0</v>
      </c>
      <c r="S173" s="52">
        <f t="shared" ref="S173:S174" si="668">G173-K173-O173</f>
        <v>250633</v>
      </c>
    </row>
    <row r="174" spans="1:19" ht="32.25" customHeight="1" x14ac:dyDescent="0.5">
      <c r="A174" s="9">
        <v>139</v>
      </c>
      <c r="B174" s="50" t="str">
        <f>[44]รายการสรุป!$E$7</f>
        <v>ฝายห้วยป้าก 2 พร้อมระบบส่งน้ำ ต.ตาลชุม อ.ท่าวังผา จ.น่าน</v>
      </c>
      <c r="C174" s="54" t="str">
        <f>[44]รายการสรุป!$I$7</f>
        <v>0700349053420011</v>
      </c>
      <c r="D174" s="55" t="s">
        <v>61</v>
      </c>
      <c r="E174" s="52">
        <f t="shared" si="645"/>
        <v>231200</v>
      </c>
      <c r="F174" s="52">
        <v>0</v>
      </c>
      <c r="G174" s="53">
        <f>[44]รายการสรุป!$J$7</f>
        <v>231200</v>
      </c>
      <c r="H174" s="52">
        <f t="shared" si="661"/>
        <v>202033.55</v>
      </c>
      <c r="I174" s="52">
        <f t="shared" si="662"/>
        <v>87.384753460207619</v>
      </c>
      <c r="J174" s="52">
        <v>0</v>
      </c>
      <c r="K174" s="52">
        <f>34914.8+9140+4779+4061+45627.75+6000+41630+39675+6000+3966+6240</f>
        <v>202033.55</v>
      </c>
      <c r="L174" s="52">
        <f t="shared" si="663"/>
        <v>0</v>
      </c>
      <c r="M174" s="52">
        <f t="shared" si="664"/>
        <v>0</v>
      </c>
      <c r="N174" s="52">
        <v>0</v>
      </c>
      <c r="O174" s="52">
        <v>0</v>
      </c>
      <c r="P174" s="52">
        <f t="shared" si="665"/>
        <v>29166.450000000012</v>
      </c>
      <c r="Q174" s="52">
        <f t="shared" si="666"/>
        <v>12.615246539792391</v>
      </c>
      <c r="R174" s="52">
        <f t="shared" si="667"/>
        <v>0</v>
      </c>
      <c r="S174" s="52">
        <f t="shared" si="668"/>
        <v>29166.450000000012</v>
      </c>
    </row>
    <row r="175" spans="1:19" ht="30" customHeight="1" x14ac:dyDescent="0.5">
      <c r="A175" s="9"/>
      <c r="B175" s="20" t="s">
        <v>31</v>
      </c>
      <c r="C175" s="20"/>
      <c r="D175" s="23"/>
      <c r="E175" s="21">
        <f>G175+F175</f>
        <v>36323940.990000002</v>
      </c>
      <c r="F175" s="22">
        <f>F176+F180+F184+F186</f>
        <v>31168300</v>
      </c>
      <c r="G175" s="21">
        <f>G176+G180+G184+G186</f>
        <v>5155640.99</v>
      </c>
      <c r="H175" s="22">
        <f>K175+J175</f>
        <v>3639198.99</v>
      </c>
      <c r="I175" s="22">
        <f>H175*100/E175</f>
        <v>10.018733900602562</v>
      </c>
      <c r="J175" s="22">
        <f>J176+J180+J184+J186</f>
        <v>1679900</v>
      </c>
      <c r="K175" s="22">
        <f>K176+K180+K184+K186</f>
        <v>1959298.9900000002</v>
      </c>
      <c r="L175" s="22">
        <f>O175+N175</f>
        <v>0</v>
      </c>
      <c r="M175" s="20"/>
      <c r="N175" s="22">
        <f>N176+N180</f>
        <v>0</v>
      </c>
      <c r="O175" s="22">
        <f>O176+O180+O184</f>
        <v>0</v>
      </c>
      <c r="P175" s="22">
        <f>S175+R175</f>
        <v>32684742</v>
      </c>
      <c r="Q175" s="21">
        <f>P175*100/E175</f>
        <v>89.98126609939743</v>
      </c>
      <c r="R175" s="22">
        <f>F175-J175-N175</f>
        <v>29488400</v>
      </c>
      <c r="S175" s="22">
        <f>G175-K175-O175</f>
        <v>3196342</v>
      </c>
    </row>
    <row r="176" spans="1:19" ht="30" customHeight="1" x14ac:dyDescent="0.5">
      <c r="A176" s="9"/>
      <c r="B176" s="18" t="s">
        <v>36</v>
      </c>
      <c r="C176" s="18"/>
      <c r="D176" s="24"/>
      <c r="E176" s="19">
        <f>G176+F176</f>
        <v>29997500</v>
      </c>
      <c r="F176" s="19">
        <f>SUM(F177:F179)</f>
        <v>29488400</v>
      </c>
      <c r="G176" s="19">
        <f>SUM(G177:G179)</f>
        <v>509100</v>
      </c>
      <c r="H176" s="19">
        <f>K176+J176</f>
        <v>0</v>
      </c>
      <c r="I176" s="19">
        <f>H176*100/E176</f>
        <v>0</v>
      </c>
      <c r="J176" s="19">
        <f>SUM(J177:J179)</f>
        <v>0</v>
      </c>
      <c r="K176" s="19">
        <f>SUM(K177:K179)</f>
        <v>0</v>
      </c>
      <c r="L176" s="19">
        <f>N176+O176</f>
        <v>0</v>
      </c>
      <c r="M176" s="19">
        <f>L176*100/E176</f>
        <v>0</v>
      </c>
      <c r="N176" s="19">
        <f>SUM(N177:N179)</f>
        <v>0</v>
      </c>
      <c r="O176" s="19">
        <f>SUM(O177:O179)</f>
        <v>0</v>
      </c>
      <c r="P176" s="19">
        <f t="shared" ref="P176" si="669">R176+S176</f>
        <v>29997500</v>
      </c>
      <c r="Q176" s="19">
        <f>P176*100/E176</f>
        <v>100</v>
      </c>
      <c r="R176" s="19">
        <f t="shared" ref="R176" si="670">F176-J176-N176</f>
        <v>29488400</v>
      </c>
      <c r="S176" s="19">
        <f t="shared" ref="S176" si="671">G176-K176-O176</f>
        <v>509100</v>
      </c>
    </row>
    <row r="177" spans="1:19" ht="30" customHeight="1" x14ac:dyDescent="0.5">
      <c r="A177" s="9">
        <v>140</v>
      </c>
      <c r="B177" s="11" t="str">
        <f>[45]รายการสรุป!$E$5</f>
        <v>เขื่อนหัวงานและอาคารประกอบพร้อมส่วนประกอบอื่นโครงการปับปรุงเขื่อนแม่สรวย จ.เชียงราย</v>
      </c>
      <c r="C177" s="11" t="str">
        <f>[45]รายการสรุป!$I$5</f>
        <v>0700349054420038</v>
      </c>
      <c r="D177" s="15" t="s">
        <v>32</v>
      </c>
      <c r="E177" s="52">
        <f t="shared" ref="E177" si="672">F177+G177</f>
        <v>29090300</v>
      </c>
      <c r="F177" s="52">
        <f>[45]รายการสรุป!$J$5</f>
        <v>29090300</v>
      </c>
      <c r="G177" s="53">
        <v>0</v>
      </c>
      <c r="H177" s="52">
        <f t="shared" ref="H177" si="673">J177+K177</f>
        <v>0</v>
      </c>
      <c r="I177" s="52">
        <f t="shared" ref="I177" si="674">H177*100/E177</f>
        <v>0</v>
      </c>
      <c r="J177" s="52">
        <v>0</v>
      </c>
      <c r="K177" s="52"/>
      <c r="L177" s="52">
        <f t="shared" ref="L177" si="675">N177+O177</f>
        <v>0</v>
      </c>
      <c r="M177" s="52">
        <f t="shared" ref="M177" si="676">L177*100/E177</f>
        <v>0</v>
      </c>
      <c r="N177" s="52">
        <v>0</v>
      </c>
      <c r="O177" s="52">
        <v>0</v>
      </c>
      <c r="P177" s="52">
        <f t="shared" ref="P177" si="677">R177+S177</f>
        <v>29090300</v>
      </c>
      <c r="Q177" s="52">
        <f t="shared" ref="Q177" si="678">P177*100/E177</f>
        <v>100</v>
      </c>
      <c r="R177" s="52">
        <f t="shared" ref="R177" si="679">F177-J177-N177</f>
        <v>29090300</v>
      </c>
      <c r="S177" s="52">
        <f t="shared" ref="S177" si="680">G177-K177-O177</f>
        <v>0</v>
      </c>
    </row>
    <row r="178" spans="1:19" ht="47.25" customHeight="1" x14ac:dyDescent="0.5">
      <c r="A178" s="9">
        <v>141</v>
      </c>
      <c r="B178" s="11" t="str">
        <f>[45]รายการสรุป!$E$6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178" s="11" t="str">
        <f>[45]รายการสรุป!$I$6</f>
        <v>0700349054420039</v>
      </c>
      <c r="D178" s="15" t="s">
        <v>32</v>
      </c>
      <c r="E178" s="52">
        <f t="shared" ref="E178:E179" si="681">F178+G178</f>
        <v>398100</v>
      </c>
      <c r="F178" s="52">
        <f>[45]รายการสรุป!$J$6</f>
        <v>398100</v>
      </c>
      <c r="G178" s="53">
        <v>0</v>
      </c>
      <c r="H178" s="52">
        <f t="shared" ref="H178:H179" si="682">J178+K178</f>
        <v>0</v>
      </c>
      <c r="I178" s="52">
        <f t="shared" ref="I178:I179" si="683">H178*100/E178</f>
        <v>0</v>
      </c>
      <c r="J178" s="52">
        <v>0</v>
      </c>
      <c r="K178" s="52"/>
      <c r="L178" s="52">
        <f t="shared" ref="L178:L179" si="684">N178+O178</f>
        <v>0</v>
      </c>
      <c r="M178" s="52">
        <f t="shared" ref="M178:M179" si="685">L178*100/E178</f>
        <v>0</v>
      </c>
      <c r="N178" s="52">
        <v>0</v>
      </c>
      <c r="O178" s="52">
        <v>0</v>
      </c>
      <c r="P178" s="52">
        <f t="shared" ref="P178:P181" si="686">R178+S178</f>
        <v>398100</v>
      </c>
      <c r="Q178" s="52">
        <f t="shared" ref="Q178:Q179" si="687">P178*100/E178</f>
        <v>100</v>
      </c>
      <c r="R178" s="52">
        <f t="shared" ref="R178:R181" si="688">F178-J178-N178</f>
        <v>398100</v>
      </c>
      <c r="S178" s="52">
        <f t="shared" ref="S178:S181" si="689">G178-K178-O178</f>
        <v>0</v>
      </c>
    </row>
    <row r="179" spans="1:19" ht="47.25" customHeight="1" x14ac:dyDescent="0.5">
      <c r="A179" s="9">
        <v>142</v>
      </c>
      <c r="B179" s="11" t="str">
        <f>[45]รายการสรุป!$E$7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179" s="11" t="str">
        <f>[45]รายการสรุป!$I$7</f>
        <v>0700349054410024</v>
      </c>
      <c r="D179" s="15" t="s">
        <v>32</v>
      </c>
      <c r="E179" s="52">
        <f t="shared" si="681"/>
        <v>509100</v>
      </c>
      <c r="F179" s="52">
        <v>0</v>
      </c>
      <c r="G179" s="53">
        <f>[45]รายการสรุป!$J$7</f>
        <v>509100</v>
      </c>
      <c r="H179" s="52">
        <f t="shared" si="682"/>
        <v>0</v>
      </c>
      <c r="I179" s="52">
        <f t="shared" si="683"/>
        <v>0</v>
      </c>
      <c r="J179" s="52">
        <v>0</v>
      </c>
      <c r="K179" s="52"/>
      <c r="L179" s="52">
        <f t="shared" si="684"/>
        <v>0</v>
      </c>
      <c r="M179" s="52">
        <f t="shared" si="685"/>
        <v>0</v>
      </c>
      <c r="N179" s="52">
        <v>0</v>
      </c>
      <c r="O179" s="52">
        <v>0</v>
      </c>
      <c r="P179" s="52">
        <f t="shared" si="686"/>
        <v>509100</v>
      </c>
      <c r="Q179" s="52">
        <f t="shared" si="687"/>
        <v>100</v>
      </c>
      <c r="R179" s="52">
        <f t="shared" si="688"/>
        <v>0</v>
      </c>
      <c r="S179" s="52">
        <f t="shared" si="689"/>
        <v>509100</v>
      </c>
    </row>
    <row r="180" spans="1:19" ht="31.5" customHeight="1" x14ac:dyDescent="0.5">
      <c r="A180" s="9"/>
      <c r="B180" s="18" t="s">
        <v>37</v>
      </c>
      <c r="C180" s="18"/>
      <c r="D180" s="24"/>
      <c r="E180" s="19">
        <f>G180+F180</f>
        <v>3596440.99</v>
      </c>
      <c r="F180" s="19">
        <f>SUM(F181:F183)</f>
        <v>1679900</v>
      </c>
      <c r="G180" s="19">
        <f>SUM(G181:G183)</f>
        <v>1916540.99</v>
      </c>
      <c r="H180" s="19">
        <f>K180+J180</f>
        <v>2863113.34</v>
      </c>
      <c r="I180" s="19">
        <f>H180*100/E180</f>
        <v>79.609629296322751</v>
      </c>
      <c r="J180" s="19">
        <f>SUM(J181:J183)</f>
        <v>1679900</v>
      </c>
      <c r="K180" s="19">
        <f>SUM(K181:K183)</f>
        <v>1183213.3400000001</v>
      </c>
      <c r="L180" s="19">
        <f>N180+O180</f>
        <v>0</v>
      </c>
      <c r="M180" s="19">
        <f>L180*100/E180</f>
        <v>0</v>
      </c>
      <c r="N180" s="19">
        <f>SUM(N181:N183)</f>
        <v>0</v>
      </c>
      <c r="O180" s="19">
        <f>SUM(O181:O183)</f>
        <v>0</v>
      </c>
      <c r="P180" s="19">
        <f t="shared" si="686"/>
        <v>733327.64999999991</v>
      </c>
      <c r="Q180" s="19">
        <f>P180*100/E180</f>
        <v>20.390370703677242</v>
      </c>
      <c r="R180" s="19">
        <f t="shared" si="688"/>
        <v>0</v>
      </c>
      <c r="S180" s="19">
        <f t="shared" si="689"/>
        <v>733327.64999999991</v>
      </c>
    </row>
    <row r="181" spans="1:19" ht="35.25" customHeight="1" x14ac:dyDescent="0.5">
      <c r="A181" s="9">
        <v>143</v>
      </c>
      <c r="B181" s="11" t="str">
        <f>[46]รายการสรุป!$E$5</f>
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</c>
      <c r="C181" s="11" t="str">
        <f>[46]รายการสรุป!$I$5</f>
        <v>0700349054420060</v>
      </c>
      <c r="D181" s="15" t="s">
        <v>35</v>
      </c>
      <c r="E181" s="52">
        <f t="shared" ref="E181" si="690">F181+G181</f>
        <v>640000</v>
      </c>
      <c r="F181" s="52">
        <v>0</v>
      </c>
      <c r="G181" s="53">
        <f>[47]รายการสรุป!$J$5</f>
        <v>640000</v>
      </c>
      <c r="H181" s="52">
        <f t="shared" ref="H181" si="691">J181+K181</f>
        <v>542050.9</v>
      </c>
      <c r="I181" s="52">
        <f t="shared" ref="I181" si="692">H181*100/E181</f>
        <v>84.695453125</v>
      </c>
      <c r="J181" s="52">
        <v>0</v>
      </c>
      <c r="K181" s="52">
        <f>15207+21399+11486+6960+40323+7935+15870+15823.45+83998.35+6567+13051.3+3605.7+6022.8+3011.4+17457.4+8728.7+5854+9034.2+3920+1760+27376.65+6022.8+3646+3011.4+11330+106724.65+15068.4+11929+240+18251.1+10445.6+29991</f>
        <v>542050.9</v>
      </c>
      <c r="L181" s="52">
        <f t="shared" ref="L181" si="693">N181+O181</f>
        <v>0</v>
      </c>
      <c r="M181" s="52">
        <f t="shared" ref="M181" si="694">L181*100/E181</f>
        <v>0</v>
      </c>
      <c r="N181" s="52">
        <v>0</v>
      </c>
      <c r="O181" s="52">
        <v>0</v>
      </c>
      <c r="P181" s="52">
        <f t="shared" si="686"/>
        <v>97949.099999999977</v>
      </c>
      <c r="Q181" s="52">
        <f t="shared" ref="Q181" si="695">P181*100/E181</f>
        <v>15.304546874999996</v>
      </c>
      <c r="R181" s="52">
        <f t="shared" si="688"/>
        <v>0</v>
      </c>
      <c r="S181" s="52">
        <f t="shared" si="689"/>
        <v>97949.099999999977</v>
      </c>
    </row>
    <row r="182" spans="1:19" ht="34.5" customHeight="1" x14ac:dyDescent="0.5">
      <c r="A182" s="9">
        <v>144</v>
      </c>
      <c r="B182" s="50" t="str">
        <f>[46]รายการสรุป!$E$6</f>
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</c>
      <c r="C182" s="11" t="str">
        <f>[46]รายการสรุป!$I$6</f>
        <v>0700349054420119</v>
      </c>
      <c r="D182" s="15" t="s">
        <v>35</v>
      </c>
      <c r="E182" s="52">
        <f t="shared" ref="E182:E183" si="696">F182+G182</f>
        <v>963000</v>
      </c>
      <c r="F182" s="52">
        <v>0</v>
      </c>
      <c r="G182" s="53">
        <f>[47]รายการสรุป!$J$6</f>
        <v>963000</v>
      </c>
      <c r="H182" s="52">
        <f t="shared" ref="H182:H183" si="697">J182+K182</f>
        <v>327621.45</v>
      </c>
      <c r="I182" s="52">
        <f t="shared" ref="I182:I183" si="698">H182*100/E182</f>
        <v>34.020919003115267</v>
      </c>
      <c r="J182" s="52">
        <v>0</v>
      </c>
      <c r="K182" s="52">
        <f>12000+9660+2560+9836+10000+25670+56400+63482+29526+29550+3748+35150+40039.45</f>
        <v>327621.45</v>
      </c>
      <c r="L182" s="52">
        <f t="shared" ref="L182:L183" si="699">N182+O182</f>
        <v>0</v>
      </c>
      <c r="M182" s="52">
        <f t="shared" ref="M182:M183" si="700">L182*100/E182</f>
        <v>0</v>
      </c>
      <c r="N182" s="52">
        <v>0</v>
      </c>
      <c r="O182" s="52">
        <v>0</v>
      </c>
      <c r="P182" s="52">
        <f t="shared" ref="P182:P184" si="701">R182+S182</f>
        <v>635378.55000000005</v>
      </c>
      <c r="Q182" s="52">
        <f t="shared" ref="Q182:Q183" si="702">P182*100/E182</f>
        <v>65.979080996884747</v>
      </c>
      <c r="R182" s="52">
        <f t="shared" ref="R182:R184" si="703">F182-J182-N182</f>
        <v>0</v>
      </c>
      <c r="S182" s="52">
        <f t="shared" ref="S182:S184" si="704">G182-K182-O182</f>
        <v>635378.55000000005</v>
      </c>
    </row>
    <row r="183" spans="1:19" ht="30" customHeight="1" x14ac:dyDescent="0.5">
      <c r="A183" s="9">
        <v>145</v>
      </c>
      <c r="B183" s="11" t="str">
        <f>[46]รายการสรุป!$E$7</f>
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</c>
      <c r="C183" s="11" t="str">
        <f>[46]รายการสรุป!$I$7</f>
        <v>0700349054410001</v>
      </c>
      <c r="D183" s="15" t="s">
        <v>23</v>
      </c>
      <c r="E183" s="52">
        <f t="shared" si="696"/>
        <v>1993440.99</v>
      </c>
      <c r="F183" s="52">
        <f>[48]รายการสรุป!$J$8</f>
        <v>1679900</v>
      </c>
      <c r="G183" s="53">
        <f>[48]รายการสรุป!$J$7</f>
        <v>313540.99</v>
      </c>
      <c r="H183" s="52">
        <f t="shared" si="697"/>
        <v>1993440.99</v>
      </c>
      <c r="I183" s="52">
        <f t="shared" si="698"/>
        <v>100</v>
      </c>
      <c r="J183" s="52">
        <f>503970+671960+503970</f>
        <v>1679900</v>
      </c>
      <c r="K183" s="52">
        <f>10080+3840+8331.85+199550+12996.74+6960+7935+31986+4989+1480+18251.1+7141.3</f>
        <v>313540.98999999993</v>
      </c>
      <c r="L183" s="52">
        <f t="shared" si="699"/>
        <v>0</v>
      </c>
      <c r="M183" s="52">
        <f t="shared" si="700"/>
        <v>0</v>
      </c>
      <c r="N183" s="52">
        <v>0</v>
      </c>
      <c r="O183" s="52">
        <v>0</v>
      </c>
      <c r="P183" s="52">
        <f t="shared" si="701"/>
        <v>5.8207660913467407E-11</v>
      </c>
      <c r="Q183" s="52">
        <f t="shared" si="702"/>
        <v>2.9199590660302117E-15</v>
      </c>
      <c r="R183" s="52">
        <f t="shared" si="703"/>
        <v>0</v>
      </c>
      <c r="S183" s="52">
        <f t="shared" si="704"/>
        <v>5.8207660913467407E-11</v>
      </c>
    </row>
    <row r="184" spans="1:19" ht="39.75" customHeight="1" x14ac:dyDescent="0.5">
      <c r="A184" s="9"/>
      <c r="B184" s="18" t="s">
        <v>68</v>
      </c>
      <c r="C184" s="18"/>
      <c r="D184" s="24"/>
      <c r="E184" s="19">
        <f>F184+G184</f>
        <v>1030000</v>
      </c>
      <c r="F184" s="19">
        <f>SUM(F185:F189)</f>
        <v>0</v>
      </c>
      <c r="G184" s="19">
        <f>SUM(G185)</f>
        <v>1030000</v>
      </c>
      <c r="H184" s="19">
        <f>K184+J184</f>
        <v>776085.65000000014</v>
      </c>
      <c r="I184" s="19">
        <f>H184*100/E184</f>
        <v>75.348121359223313</v>
      </c>
      <c r="J184" s="19">
        <f>SUM(J185:J189)</f>
        <v>0</v>
      </c>
      <c r="K184" s="19">
        <f>SUM(K185)</f>
        <v>776085.65000000014</v>
      </c>
      <c r="L184" s="19">
        <f>N184+O184</f>
        <v>0</v>
      </c>
      <c r="M184" s="19">
        <f>L184*100/E184</f>
        <v>0</v>
      </c>
      <c r="N184" s="19">
        <f>SUM(N185)</f>
        <v>0</v>
      </c>
      <c r="O184" s="19">
        <f>SUM(O185)</f>
        <v>0</v>
      </c>
      <c r="P184" s="19">
        <f t="shared" si="701"/>
        <v>253914.34999999986</v>
      </c>
      <c r="Q184" s="19">
        <f>P184*100/E184</f>
        <v>24.651878640776683</v>
      </c>
      <c r="R184" s="19">
        <f t="shared" si="703"/>
        <v>0</v>
      </c>
      <c r="S184" s="19">
        <f t="shared" si="704"/>
        <v>253914.34999999986</v>
      </c>
    </row>
    <row r="185" spans="1:19" ht="35.25" customHeight="1" x14ac:dyDescent="0.5">
      <c r="A185" s="9">
        <v>146</v>
      </c>
      <c r="B185" s="11" t="str">
        <f>[49]รายการสรุป!$E$5</f>
        <v>อาคารป้องกันตลิ่งท้ายอ่างเก็บน้ำน้ำพง ระยะ 2 ต.พงษ์ อ.สันติสุข จ.น่าน</v>
      </c>
      <c r="C185" s="69" t="str">
        <f>[49]รายการสรุป!$I$5</f>
        <v>0700349054420116</v>
      </c>
      <c r="D185" s="15"/>
      <c r="E185" s="52">
        <f t="shared" ref="E185" si="705">F185+G185</f>
        <v>1030000</v>
      </c>
      <c r="F185" s="52">
        <v>0</v>
      </c>
      <c r="G185" s="53">
        <f>[49]รายการสรุป!$J$5</f>
        <v>1030000</v>
      </c>
      <c r="H185" s="52">
        <f t="shared" ref="H185" si="706">J185+K185</f>
        <v>776085.65000000014</v>
      </c>
      <c r="I185" s="52">
        <f t="shared" ref="I185" si="707">H185*100/E185</f>
        <v>75.348121359223313</v>
      </c>
      <c r="J185" s="52">
        <v>0</v>
      </c>
      <c r="K185" s="52">
        <f>95222+96015.7+9000+182511+9000+32401.3+88440+49989+5840+86491.3+33557+6040+9125.55+5222.8+20650+1840+34660+10080</f>
        <v>776085.65000000014</v>
      </c>
      <c r="L185" s="52">
        <f t="shared" ref="L185" si="708">N185+O185</f>
        <v>0</v>
      </c>
      <c r="M185" s="52">
        <f t="shared" ref="M185" si="709">L185*100/E185</f>
        <v>0</v>
      </c>
      <c r="N185" s="52">
        <v>0</v>
      </c>
      <c r="O185" s="52">
        <v>0</v>
      </c>
      <c r="P185" s="52">
        <f t="shared" ref="P185:P186" si="710">R185+S185</f>
        <v>253914.34999999986</v>
      </c>
      <c r="Q185" s="52">
        <f t="shared" ref="Q185" si="711">P185*100/E185</f>
        <v>24.651878640776683</v>
      </c>
      <c r="R185" s="52">
        <f t="shared" ref="R185:R186" si="712">F185-J185-N185</f>
        <v>0</v>
      </c>
      <c r="S185" s="52">
        <f t="shared" ref="S185:S186" si="713">G185-K185-O185</f>
        <v>253914.34999999986</v>
      </c>
    </row>
    <row r="186" spans="1:19" ht="35.25" customHeight="1" x14ac:dyDescent="0.5">
      <c r="A186" s="9"/>
      <c r="B186" s="18" t="s">
        <v>91</v>
      </c>
      <c r="C186" s="18"/>
      <c r="D186" s="24"/>
      <c r="E186" s="19">
        <f>F186+G186</f>
        <v>1700000</v>
      </c>
      <c r="F186" s="19">
        <f>SUM(F187)</f>
        <v>0</v>
      </c>
      <c r="G186" s="19">
        <f>SUM(G187)</f>
        <v>1700000</v>
      </c>
      <c r="H186" s="19">
        <f>K186+J186</f>
        <v>0</v>
      </c>
      <c r="I186" s="19">
        <f>H186*100/E186</f>
        <v>0</v>
      </c>
      <c r="J186" s="19">
        <f>SUM(J187)</f>
        <v>0</v>
      </c>
      <c r="K186" s="19">
        <f>SUM(K187)</f>
        <v>0</v>
      </c>
      <c r="L186" s="19">
        <f>N186+O186</f>
        <v>0</v>
      </c>
      <c r="M186" s="19">
        <f>L186*100/E186</f>
        <v>0</v>
      </c>
      <c r="N186" s="19">
        <f>SUM(N187)</f>
        <v>0</v>
      </c>
      <c r="O186" s="19">
        <f>SUM(O187)</f>
        <v>0</v>
      </c>
      <c r="P186" s="19">
        <f t="shared" si="710"/>
        <v>1700000</v>
      </c>
      <c r="Q186" s="19">
        <f>P186*100/E186</f>
        <v>100</v>
      </c>
      <c r="R186" s="19">
        <f t="shared" si="712"/>
        <v>0</v>
      </c>
      <c r="S186" s="19">
        <f t="shared" si="713"/>
        <v>1700000</v>
      </c>
    </row>
    <row r="187" spans="1:19" ht="37.5" customHeight="1" x14ac:dyDescent="0.5">
      <c r="A187" s="9">
        <v>147</v>
      </c>
      <c r="B187" s="11" t="str">
        <f>[50]รายการสรุป!$E$5</f>
        <v>ระบบห้องประชุมทางไกลผ่านวีดีทัศน์ (Video conference) ขนาดผู้เข้าร่วมประชุม 10 ท่าน</v>
      </c>
      <c r="C187" s="69" t="str">
        <f>[50]รายการสรุป!$I$5</f>
        <v>0700349054110001</v>
      </c>
      <c r="D187" s="15" t="s">
        <v>92</v>
      </c>
      <c r="E187" s="52">
        <f t="shared" ref="E187" si="714">F187+G187</f>
        <v>1700000</v>
      </c>
      <c r="F187" s="52">
        <v>0</v>
      </c>
      <c r="G187" s="53">
        <f>[50]รายการสรุป!$J$5</f>
        <v>1700000</v>
      </c>
      <c r="H187" s="52">
        <f t="shared" ref="H187" si="715">J187+K187</f>
        <v>0</v>
      </c>
      <c r="I187" s="52">
        <f t="shared" ref="I187" si="716">H187*100/E187</f>
        <v>0</v>
      </c>
      <c r="J187" s="52">
        <v>0</v>
      </c>
      <c r="K187" s="52">
        <v>0</v>
      </c>
      <c r="L187" s="52">
        <f t="shared" ref="L187" si="717">N187+O187</f>
        <v>0</v>
      </c>
      <c r="M187" s="52">
        <f t="shared" ref="M187" si="718">L187*100/E187</f>
        <v>0</v>
      </c>
      <c r="N187" s="52">
        <v>0</v>
      </c>
      <c r="O187" s="52">
        <v>0</v>
      </c>
      <c r="P187" s="52">
        <f t="shared" ref="P187" si="719">R187+S187</f>
        <v>1700000</v>
      </c>
      <c r="Q187" s="52">
        <f t="shared" ref="Q187" si="720">P187*100/E187</f>
        <v>100</v>
      </c>
      <c r="R187" s="52">
        <f t="shared" ref="R187" si="721">F187-J187-N187</f>
        <v>0</v>
      </c>
      <c r="S187" s="52">
        <f t="shared" ref="S187" si="722">G187-K187-O187</f>
        <v>1700000</v>
      </c>
    </row>
    <row r="188" spans="1:19" ht="39" customHeight="1" x14ac:dyDescent="0.5">
      <c r="A188" s="9"/>
      <c r="B188" s="20" t="s">
        <v>48</v>
      </c>
      <c r="C188" s="20"/>
      <c r="D188" s="23"/>
      <c r="E188" s="21">
        <f>G188+F188</f>
        <v>985300</v>
      </c>
      <c r="F188" s="22">
        <f>SUM(F189)</f>
        <v>0</v>
      </c>
      <c r="G188" s="21">
        <f>SUM(G189:G190)</f>
        <v>985300</v>
      </c>
      <c r="H188" s="22">
        <f>K188+J188</f>
        <v>453143.6</v>
      </c>
      <c r="I188" s="22">
        <f>H188*100/E188</f>
        <v>45.990419161676648</v>
      </c>
      <c r="J188" s="22">
        <f>SUM(J189)</f>
        <v>0</v>
      </c>
      <c r="K188" s="22">
        <f>SUM(K189:K190)</f>
        <v>453143.6</v>
      </c>
      <c r="L188" s="22">
        <f>O188+N188</f>
        <v>0</v>
      </c>
      <c r="M188" s="20"/>
      <c r="N188" s="22">
        <f>SUM(N189)</f>
        <v>0</v>
      </c>
      <c r="O188" s="22">
        <f>SUM(O189:O190)</f>
        <v>0</v>
      </c>
      <c r="P188" s="22">
        <f>S188+R188</f>
        <v>532156.4</v>
      </c>
      <c r="Q188" s="21">
        <f>P188*100/E188</f>
        <v>54.009580838323352</v>
      </c>
      <c r="R188" s="22">
        <f>F188-J188-N188</f>
        <v>0</v>
      </c>
      <c r="S188" s="22">
        <f>G188-K188-O188</f>
        <v>532156.4</v>
      </c>
    </row>
    <row r="189" spans="1:19" ht="48" customHeight="1" x14ac:dyDescent="0.5">
      <c r="A189" s="51">
        <v>148</v>
      </c>
      <c r="B189" s="11" t="str">
        <f>[51]รายการสรุป!$E$5</f>
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</c>
      <c r="C189" s="11" t="str">
        <f>[51]รายการสรุป!$I$5</f>
        <v>07003280A5420018</v>
      </c>
      <c r="D189" s="15" t="s">
        <v>49</v>
      </c>
      <c r="E189" s="52">
        <f t="shared" ref="E189" si="723">F189+G189</f>
        <v>607300</v>
      </c>
      <c r="F189" s="52">
        <v>0</v>
      </c>
      <c r="G189" s="52">
        <f>[51]รายการสรุป!$J$5</f>
        <v>607300</v>
      </c>
      <c r="H189" s="52">
        <f t="shared" ref="H189" si="724">J189+K189</f>
        <v>304469.25</v>
      </c>
      <c r="I189" s="52">
        <f t="shared" ref="I189" si="725">H189*100/E189</f>
        <v>50.134900378725504</v>
      </c>
      <c r="J189" s="52">
        <v>0</v>
      </c>
      <c r="K189" s="52">
        <f>44945+5000+1280+45228.9+31176.7+18251.1+27376.65+14935.5+13968.4+7197+95110</f>
        <v>304469.25</v>
      </c>
      <c r="L189" s="52">
        <f t="shared" ref="L189" si="726">N189+O189</f>
        <v>0</v>
      </c>
      <c r="M189" s="52">
        <f t="shared" ref="M189" si="727">L189*100/E189</f>
        <v>0</v>
      </c>
      <c r="N189" s="52">
        <v>0</v>
      </c>
      <c r="O189" s="52">
        <v>0</v>
      </c>
      <c r="P189" s="52">
        <f t="shared" ref="P189" si="728">R189+S189</f>
        <v>302830.75</v>
      </c>
      <c r="Q189" s="52">
        <f t="shared" ref="Q189" si="729">P189*100/E189</f>
        <v>49.865099621274496</v>
      </c>
      <c r="R189" s="52">
        <f t="shared" ref="R189" si="730">F189-J189-N189</f>
        <v>0</v>
      </c>
      <c r="S189" s="52">
        <f t="shared" ref="S189" si="731">G189-K189-O189</f>
        <v>302830.75</v>
      </c>
    </row>
    <row r="190" spans="1:19" ht="35.25" customHeight="1" x14ac:dyDescent="0.5">
      <c r="A190" s="51">
        <v>149</v>
      </c>
      <c r="B190" s="11" t="str">
        <f>[52]รายการสรุป!$E$5</f>
        <v>ฝายสบสถานพร้อมระบบส่งน้ำ ต.บัวใหญ่ อ.นาน้อย จ.น่าน</v>
      </c>
      <c r="C190" s="11" t="str">
        <f>[52]รายการสรุป!$I$5</f>
        <v>07003280A5420007</v>
      </c>
      <c r="D190" s="15" t="s">
        <v>64</v>
      </c>
      <c r="E190" s="52">
        <f t="shared" ref="E190" si="732">F190+G190</f>
        <v>378000</v>
      </c>
      <c r="F190" s="52">
        <v>0</v>
      </c>
      <c r="G190" s="52">
        <f>[52]รายการสรุป!$J$5</f>
        <v>378000</v>
      </c>
      <c r="H190" s="52">
        <f t="shared" ref="H190" si="733">J190+K190</f>
        <v>148674.35</v>
      </c>
      <c r="I190" s="52">
        <f t="shared" ref="I190" si="734">H190*100/E190</f>
        <v>39.331838624338623</v>
      </c>
      <c r="J190" s="52">
        <v>0</v>
      </c>
      <c r="K190" s="52">
        <f>2680+35627.5+8728.5+2320+37246.75+13145.6+13976+34950</f>
        <v>148674.35</v>
      </c>
      <c r="L190" s="52">
        <f t="shared" ref="L190" si="735">N190+O190</f>
        <v>0</v>
      </c>
      <c r="M190" s="52">
        <f t="shared" ref="M190" si="736">L190*100/E190</f>
        <v>0</v>
      </c>
      <c r="N190" s="52">
        <v>0</v>
      </c>
      <c r="O190" s="52">
        <v>0</v>
      </c>
      <c r="P190" s="52">
        <f t="shared" ref="P190" si="737">R190+S190</f>
        <v>229325.65</v>
      </c>
      <c r="Q190" s="52">
        <f t="shared" ref="Q190" si="738">P190*100/E190</f>
        <v>60.668161375661377</v>
      </c>
      <c r="R190" s="52">
        <f t="shared" ref="R190" si="739">F190-J190-N190</f>
        <v>0</v>
      </c>
      <c r="S190" s="52">
        <f t="shared" ref="S190" si="740">G190-K190-O190</f>
        <v>229325.65</v>
      </c>
    </row>
    <row r="191" spans="1:19" ht="30.75" customHeight="1" x14ac:dyDescent="0.5">
      <c r="A191" s="9"/>
      <c r="B191" s="20" t="s">
        <v>53</v>
      </c>
      <c r="C191" s="20"/>
      <c r="D191" s="23"/>
      <c r="E191" s="21">
        <f>G191+F191</f>
        <v>1559000</v>
      </c>
      <c r="F191" s="22">
        <f>SUM(F192:F194)</f>
        <v>451000</v>
      </c>
      <c r="G191" s="21">
        <f>SUM(G192:G194)</f>
        <v>1108000</v>
      </c>
      <c r="H191" s="22">
        <f>K191+J191</f>
        <v>1309615.3700000001</v>
      </c>
      <c r="I191" s="22">
        <f>H191*100/E191</f>
        <v>84.003551635663896</v>
      </c>
      <c r="J191" s="22">
        <f>SUM(J192:J194)</f>
        <v>451000</v>
      </c>
      <c r="K191" s="22">
        <f>SUM(K192:K194)</f>
        <v>858615.37</v>
      </c>
      <c r="L191" s="22">
        <f>O191+N191</f>
        <v>0</v>
      </c>
      <c r="M191" s="20"/>
      <c r="N191" s="22">
        <f>SUM(N192:N194)</f>
        <v>0</v>
      </c>
      <c r="O191" s="22">
        <f>SUM(O192:O194)</f>
        <v>0</v>
      </c>
      <c r="P191" s="22">
        <f>S191+R191</f>
        <v>249384.63</v>
      </c>
      <c r="Q191" s="21">
        <f>P191*100/E191</f>
        <v>15.996448364336112</v>
      </c>
      <c r="R191" s="22">
        <f>F191-J191-N191</f>
        <v>0</v>
      </c>
      <c r="S191" s="22">
        <f>G191-K191-O191</f>
        <v>249384.63</v>
      </c>
    </row>
    <row r="192" spans="1:19" ht="30.75" customHeight="1" x14ac:dyDescent="0.5">
      <c r="A192" s="9">
        <v>150</v>
      </c>
      <c r="B192" s="11" t="str">
        <f>[53]รายการสรุป!$E$5</f>
        <v>บริหารจัดการน้ำ สำนักงาชลประทานที่ 2 ต.สวนดอก จ.ลำปาง</v>
      </c>
      <c r="C192" s="11" t="str">
        <f>[53]รายการสรุป!$I$5</f>
        <v>0700356001410094</v>
      </c>
      <c r="D192" s="15" t="s">
        <v>54</v>
      </c>
      <c r="E192" s="52">
        <f t="shared" ref="E192" si="741">F192+G192</f>
        <v>1000000</v>
      </c>
      <c r="F192" s="52">
        <v>0</v>
      </c>
      <c r="G192" s="52">
        <f>[53]รายการสรุป!$J$5</f>
        <v>1000000</v>
      </c>
      <c r="H192" s="52">
        <f t="shared" ref="H192" si="742">J192+K192</f>
        <v>816725.37</v>
      </c>
      <c r="I192" s="52">
        <f t="shared" ref="I192" si="743">H192*100/E192</f>
        <v>81.672537000000005</v>
      </c>
      <c r="J192" s="52">
        <v>0</v>
      </c>
      <c r="K192" s="52">
        <f>14304+46599.41+12224+4020+19619.8+16904.8+49897+7935+9596+13293.81+11841.2+6860.4+5620+26713.8+16986+8331.85+8728.7+115908.62+6534.2+18200+3000+16524.4+11985+4640+4260+9125.55+26910+8300+7500+7052+3000+6534.2+40408+5298.6+9909.82+7538.15+12171+19398+25034.2+18080+10080+49933+6720+15452.41+9125.55+27448+18500+7289.9+3896+1493</f>
        <v>816725.37</v>
      </c>
      <c r="L192" s="52">
        <f t="shared" ref="L192" si="744">N192+O192</f>
        <v>0</v>
      </c>
      <c r="M192" s="52">
        <f t="shared" ref="M192" si="745">L192*100/E192</f>
        <v>0</v>
      </c>
      <c r="N192" s="52">
        <v>0</v>
      </c>
      <c r="O192" s="52">
        <v>0</v>
      </c>
      <c r="P192" s="52">
        <f t="shared" ref="P192" si="746">R192+S192</f>
        <v>183274.63</v>
      </c>
      <c r="Q192" s="52">
        <f t="shared" ref="Q192" si="747">P192*100/E192</f>
        <v>18.327463000000002</v>
      </c>
      <c r="R192" s="52">
        <f t="shared" ref="R192" si="748">F192-J192-N192</f>
        <v>0</v>
      </c>
      <c r="S192" s="52">
        <f t="shared" ref="S192" si="749">G192-K192-O192</f>
        <v>183274.63</v>
      </c>
    </row>
    <row r="193" spans="1:20" ht="51" customHeight="1" x14ac:dyDescent="0.5">
      <c r="A193" s="9">
        <v>151</v>
      </c>
      <c r="B193" s="11" t="str">
        <f>[54]รายการสรุป!$E$5</f>
        <v>ปรับปรุงสะพานคอนกรีตเสริมเหล็กคลอง RMCกิ่วลม กม.8+204 โครงการส่งน้ำและบำรุงรักษากิ่วลม-กิ่วคอหมา ต.บุญนาคพัฒนา อ.เมือง จ.ลำปาง</v>
      </c>
      <c r="C193" s="11" t="str">
        <f>[54]รายการสรุป!$I$5</f>
        <v>0700356001410001</v>
      </c>
      <c r="D193" s="11" t="s">
        <v>74</v>
      </c>
      <c r="E193" s="52">
        <f t="shared" ref="E193" si="750">F193+G193</f>
        <v>108000</v>
      </c>
      <c r="F193" s="52">
        <v>0</v>
      </c>
      <c r="G193" s="52">
        <f>[54]รายการสรุป!$J$5</f>
        <v>108000</v>
      </c>
      <c r="H193" s="52">
        <f t="shared" ref="H193" si="751">J193+K193</f>
        <v>41890</v>
      </c>
      <c r="I193" s="52">
        <f t="shared" ref="I193" si="752">H193*100/E193</f>
        <v>38.787037037037038</v>
      </c>
      <c r="J193" s="52">
        <v>0</v>
      </c>
      <c r="K193" s="52">
        <f>32060+9830</f>
        <v>41890</v>
      </c>
      <c r="L193" s="52">
        <f t="shared" ref="L193" si="753">N193+O193</f>
        <v>0</v>
      </c>
      <c r="M193" s="52">
        <f t="shared" ref="M193" si="754">L193*100/E193</f>
        <v>0</v>
      </c>
      <c r="N193" s="52">
        <v>0</v>
      </c>
      <c r="O193" s="52">
        <v>0</v>
      </c>
      <c r="P193" s="52">
        <f t="shared" ref="P193" si="755">R193+S193</f>
        <v>66110</v>
      </c>
      <c r="Q193" s="52">
        <f t="shared" ref="Q193" si="756">P193*100/E193</f>
        <v>61.212962962962962</v>
      </c>
      <c r="R193" s="52">
        <f t="shared" ref="R193" si="757">F193-J193-N193</f>
        <v>0</v>
      </c>
      <c r="S193" s="52">
        <f t="shared" ref="S193" si="758">G193-K193-O193</f>
        <v>66110</v>
      </c>
    </row>
    <row r="194" spans="1:20" ht="30.75" customHeight="1" x14ac:dyDescent="0.5">
      <c r="A194" s="9">
        <v>152</v>
      </c>
      <c r="B194" s="11" t="str">
        <f>[55]รายการสรุป!$E$5</f>
        <v>ซ่อมใหญ่เครื่องจักรเครื่องมือด้านบำรุงรักษา สำนักงานชลประทานที่ 2 ต.ชมพู อ.เมือง จ.ลำปาง</v>
      </c>
      <c r="C194" s="11" t="str">
        <f>[55]รายการสรุป!$I$5</f>
        <v>0700356001110002</v>
      </c>
      <c r="D194" s="15" t="s">
        <v>70</v>
      </c>
      <c r="E194" s="52">
        <f t="shared" ref="E194" si="759">F194+G194</f>
        <v>451000</v>
      </c>
      <c r="F194" s="52">
        <f>[55]รายการสรุป!$J$5</f>
        <v>451000</v>
      </c>
      <c r="G194" s="52"/>
      <c r="H194" s="52">
        <f t="shared" ref="H194" si="760">J194+K194</f>
        <v>451000</v>
      </c>
      <c r="I194" s="52">
        <f t="shared" ref="I194" si="761">H194*100/E194</f>
        <v>100</v>
      </c>
      <c r="J194" s="52">
        <f>451000</f>
        <v>451000</v>
      </c>
      <c r="K194" s="52">
        <v>0</v>
      </c>
      <c r="L194" s="52">
        <f t="shared" ref="L194" si="762">N194+O194</f>
        <v>0</v>
      </c>
      <c r="M194" s="52">
        <f t="shared" ref="M194" si="763">L194*100/E194</f>
        <v>0</v>
      </c>
      <c r="N194" s="52">
        <v>0</v>
      </c>
      <c r="O194" s="52">
        <v>0</v>
      </c>
      <c r="P194" s="52">
        <f t="shared" ref="P194" si="764">R194+S194</f>
        <v>0</v>
      </c>
      <c r="Q194" s="52">
        <f t="shared" ref="Q194" si="765">P194*100/E194</f>
        <v>0</v>
      </c>
      <c r="R194" s="52">
        <f t="shared" ref="R194" si="766">F194-J194-N194</f>
        <v>0</v>
      </c>
      <c r="S194" s="52">
        <f t="shared" ref="S194" si="767">G194-K194-O194</f>
        <v>0</v>
      </c>
    </row>
    <row r="195" spans="1:20" ht="33.75" customHeight="1" x14ac:dyDescent="0.5">
      <c r="A195" s="9"/>
      <c r="B195" s="75" t="s">
        <v>78</v>
      </c>
      <c r="C195" s="73"/>
      <c r="D195" s="76"/>
      <c r="E195" s="77">
        <f>G195+F195</f>
        <v>217200</v>
      </c>
      <c r="F195" s="74">
        <f>F196</f>
        <v>0</v>
      </c>
      <c r="G195" s="77">
        <f>G196</f>
        <v>217200</v>
      </c>
      <c r="H195" s="78">
        <f>K195+J195</f>
        <v>217145.57</v>
      </c>
      <c r="I195" s="78">
        <f>H195*100/E195</f>
        <v>99.974940147329647</v>
      </c>
      <c r="J195" s="78">
        <f>J196</f>
        <v>0</v>
      </c>
      <c r="K195" s="78">
        <f>K196</f>
        <v>217145.57</v>
      </c>
      <c r="L195" s="78">
        <f>O195+N195</f>
        <v>0</v>
      </c>
      <c r="M195" s="79"/>
      <c r="N195" s="78">
        <f>N196</f>
        <v>0</v>
      </c>
      <c r="O195" s="78">
        <f>O196</f>
        <v>0</v>
      </c>
      <c r="P195" s="78">
        <f>S195+R195</f>
        <v>54.429999999993015</v>
      </c>
      <c r="Q195" s="77">
        <f>P195*100/E195</f>
        <v>2.5059852670346692E-2</v>
      </c>
      <c r="R195" s="78">
        <f>F195-J195-N195</f>
        <v>0</v>
      </c>
      <c r="S195" s="78">
        <f>G195-K195-O195</f>
        <v>54.429999999993015</v>
      </c>
      <c r="T195" s="80"/>
    </row>
    <row r="196" spans="1:20" ht="48" customHeight="1" x14ac:dyDescent="0.5">
      <c r="A196" s="9">
        <v>153</v>
      </c>
      <c r="B196" s="11" t="str">
        <f>[56]รายการสรุป!$E$5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จ.พะเยา(งานซ่อมเขตชลประทาน)</v>
      </c>
      <c r="C196" s="11" t="str">
        <f>[56]รายการสรุป!$I$5</f>
        <v>0700349056200002</v>
      </c>
      <c r="D196" s="15" t="s">
        <v>77</v>
      </c>
      <c r="E196" s="52">
        <f t="shared" ref="E196" si="768">F196+G196</f>
        <v>217200</v>
      </c>
      <c r="F196" s="52">
        <v>0</v>
      </c>
      <c r="G196" s="52">
        <f>[56]รายการสรุป!$J$5</f>
        <v>217200</v>
      </c>
      <c r="H196" s="52">
        <f t="shared" ref="H196" si="769">J196+K196</f>
        <v>217145.57</v>
      </c>
      <c r="I196" s="52">
        <f t="shared" ref="I196" si="770">H196*100/E196</f>
        <v>99.974940147329647</v>
      </c>
      <c r="J196" s="52">
        <v>0</v>
      </c>
      <c r="K196" s="52">
        <f>24995.07+90254.5+41440+60456</f>
        <v>217145.57</v>
      </c>
      <c r="L196" s="52">
        <f t="shared" ref="L196" si="771">N196+O196</f>
        <v>0</v>
      </c>
      <c r="M196" s="52">
        <f t="shared" ref="M196" si="772">L196*100/E196</f>
        <v>0</v>
      </c>
      <c r="N196" s="52">
        <v>0</v>
      </c>
      <c r="O196" s="52">
        <v>0</v>
      </c>
      <c r="P196" s="52">
        <f t="shared" ref="P196" si="773">R196+S196</f>
        <v>54.429999999993015</v>
      </c>
      <c r="Q196" s="52">
        <f t="shared" ref="Q196" si="774">P196*100/E196</f>
        <v>2.5059852670346692E-2</v>
      </c>
      <c r="R196" s="52">
        <f t="shared" ref="R196" si="775">F196-J196-N196</f>
        <v>0</v>
      </c>
      <c r="S196" s="52">
        <f t="shared" ref="S196" si="776">G196-K196-O196</f>
        <v>54.429999999993015</v>
      </c>
    </row>
    <row r="197" spans="1:20" ht="33" customHeight="1" x14ac:dyDescent="0.5">
      <c r="A197" s="9"/>
      <c r="B197" s="11"/>
      <c r="C197" s="11"/>
      <c r="D197" s="15"/>
      <c r="E197" s="52"/>
      <c r="F197" s="52"/>
      <c r="G197" s="53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</row>
    <row r="198" spans="1:20" ht="38.25" customHeight="1" x14ac:dyDescent="0.5">
      <c r="A198" s="9"/>
      <c r="B198" s="11"/>
      <c r="C198" s="11"/>
      <c r="D198" s="15"/>
      <c r="E198" s="52"/>
      <c r="F198" s="52"/>
      <c r="G198" s="53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</row>
    <row r="199" spans="1:20" ht="31.5" customHeight="1" x14ac:dyDescent="0.5">
      <c r="A199" s="9"/>
      <c r="B199" s="11"/>
      <c r="C199" s="30"/>
      <c r="D199" s="49"/>
      <c r="E199" s="30"/>
      <c r="F199" s="30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20" ht="27.75" customHeight="1" x14ac:dyDescent="0.5">
      <c r="A200" s="12"/>
      <c r="B200" s="12"/>
      <c r="C200" s="33"/>
      <c r="D200" s="33"/>
      <c r="E200" s="8"/>
      <c r="F200" s="8"/>
      <c r="G200" s="1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2" spans="1:20" x14ac:dyDescent="0.5">
      <c r="Q202" s="98" t="s">
        <v>10</v>
      </c>
      <c r="R202" s="98"/>
      <c r="S202" s="98"/>
    </row>
    <row r="203" spans="1:20" x14ac:dyDescent="0.5">
      <c r="H203" s="16"/>
      <c r="Q203" s="98" t="s">
        <v>11</v>
      </c>
      <c r="R203" s="98"/>
      <c r="S203" s="98"/>
    </row>
    <row r="204" spans="1:20" x14ac:dyDescent="0.5">
      <c r="Q204" s="98" t="s">
        <v>12</v>
      </c>
      <c r="R204" s="98"/>
      <c r="S204" s="98"/>
    </row>
    <row r="205" spans="1:20" x14ac:dyDescent="0.5">
      <c r="Q205" s="98" t="s">
        <v>13</v>
      </c>
      <c r="R205" s="98"/>
      <c r="S205" s="98"/>
    </row>
  </sheetData>
  <mergeCells count="11">
    <mergeCell ref="Q202:S202"/>
    <mergeCell ref="Q203:S203"/>
    <mergeCell ref="Q204:S204"/>
    <mergeCell ref="Q205:S20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4"/>
  <sheetViews>
    <sheetView zoomScale="115" zoomScaleNormal="115" workbookViewId="0">
      <pane ySplit="3" topLeftCell="A4" activePane="bottomLeft" state="frozen"/>
      <selection activeCell="O29" sqref="O29"/>
      <selection pane="bottomLeft" activeCell="G6" sqref="G6"/>
    </sheetView>
  </sheetViews>
  <sheetFormatPr defaultColWidth="9" defaultRowHeight="23.25" x14ac:dyDescent="0.5"/>
  <cols>
    <col min="1" max="1" width="5.125" style="1" customWidth="1"/>
    <col min="2" max="2" width="60.37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x14ac:dyDescent="0.5">
      <c r="A2" s="100" t="s">
        <v>0</v>
      </c>
      <c r="B2" s="101"/>
      <c r="C2" s="84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1" ht="26.25" customHeight="1" x14ac:dyDescent="0.5">
      <c r="A3" s="102"/>
      <c r="B3" s="103"/>
      <c r="C3" s="85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36291472.07</v>
      </c>
      <c r="F4" s="5">
        <f>SUM(F5:F6)</f>
        <v>0</v>
      </c>
      <c r="G4" s="5">
        <f>SUM(G5:G6)</f>
        <v>36291472.07</v>
      </c>
      <c r="H4" s="5">
        <f t="shared" ref="H4" si="0">J4+K4</f>
        <v>5286088.4500000011</v>
      </c>
      <c r="I4" s="5">
        <f>H4*100/E4</f>
        <v>14.565649031276678</v>
      </c>
      <c r="J4" s="5">
        <f>SUM(J5:J6)</f>
        <v>0</v>
      </c>
      <c r="K4" s="5">
        <f>SUM(K5:K6)</f>
        <v>5286088.4500000011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31005383.619999997</v>
      </c>
      <c r="Q4" s="5">
        <f>P4*100/E4</f>
        <v>85.434350968723308</v>
      </c>
      <c r="R4" s="5">
        <f t="shared" ref="R4" si="1">F4-J4-N4</f>
        <v>0</v>
      </c>
      <c r="S4" s="5">
        <f>G4-K4-O4</f>
        <v>31005383.619999997</v>
      </c>
      <c r="T4" s="16">
        <f>I4+Q4</f>
        <v>99.999999999999986</v>
      </c>
      <c r="U4" s="16">
        <f>P4+H4</f>
        <v>36291472.07</v>
      </c>
    </row>
    <row r="5" spans="1:21" ht="30" customHeight="1" x14ac:dyDescent="0.5">
      <c r="A5" s="13"/>
      <c r="B5" s="32" t="s">
        <v>80</v>
      </c>
      <c r="C5" s="15"/>
      <c r="D5" s="1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50.25" customHeight="1" x14ac:dyDescent="0.5">
      <c r="A6" s="13">
        <v>1</v>
      </c>
      <c r="B6" s="11" t="s">
        <v>81</v>
      </c>
      <c r="C6" s="15" t="str">
        <f>[57]รายการสรุป!$I$5</f>
        <v>909094001564</v>
      </c>
      <c r="D6" s="15" t="s">
        <v>82</v>
      </c>
      <c r="E6" s="47">
        <f t="shared" ref="E6" si="2">F6+G6</f>
        <v>36291472.07</v>
      </c>
      <c r="F6" s="30">
        <v>0</v>
      </c>
      <c r="G6" s="48">
        <f>[58]รายการสรุป!$J$5</f>
        <v>36291472.07</v>
      </c>
      <c r="H6" s="47">
        <f t="shared" ref="H6" si="3">J6+K6</f>
        <v>5286088.4500000011</v>
      </c>
      <c r="I6" s="47">
        <f t="shared" ref="I6" si="4">H6*100/E6</f>
        <v>14.565649031276678</v>
      </c>
      <c r="J6" s="30">
        <v>0</v>
      </c>
      <c r="K6" s="52">
        <f>119408.85+638788.5+494605+99997+100115+495991+631218.35+372141.6+498200+895879.3+340519.95+599223.9</f>
        <v>5286088.4500000011</v>
      </c>
      <c r="L6" s="52">
        <f t="shared" ref="L6" si="5">N6+O6</f>
        <v>0</v>
      </c>
      <c r="M6" s="52">
        <f t="shared" ref="M6" si="6">L6*100/E6</f>
        <v>0</v>
      </c>
      <c r="N6" s="52">
        <v>0</v>
      </c>
      <c r="O6" s="52">
        <v>0</v>
      </c>
      <c r="P6" s="52">
        <f t="shared" ref="P6" si="7">R6+S6</f>
        <v>31005383.619999997</v>
      </c>
      <c r="Q6" s="52">
        <f t="shared" ref="Q6" si="8">P6*100/E6</f>
        <v>85.434350968723308</v>
      </c>
      <c r="R6" s="52">
        <f t="shared" ref="R6:S6" si="9">F6-J6-N6</f>
        <v>0</v>
      </c>
      <c r="S6" s="52">
        <f t="shared" si="9"/>
        <v>31005383.619999997</v>
      </c>
    </row>
    <row r="7" spans="1:21" ht="27.75" customHeight="1" x14ac:dyDescent="0.5">
      <c r="A7" s="10"/>
      <c r="B7" s="12"/>
      <c r="C7" s="1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9" spans="1:21" x14ac:dyDescent="0.5">
      <c r="Q9" s="98" t="s">
        <v>10</v>
      </c>
      <c r="R9" s="98"/>
      <c r="S9" s="98"/>
    </row>
    <row r="10" spans="1:21" x14ac:dyDescent="0.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98" t="s">
        <v>11</v>
      </c>
      <c r="R10" s="98"/>
      <c r="S10" s="98"/>
    </row>
    <row r="11" spans="1:21" x14ac:dyDescent="0.5">
      <c r="Q11" s="98" t="s">
        <v>12</v>
      </c>
      <c r="R11" s="98"/>
      <c r="S11" s="98"/>
    </row>
    <row r="12" spans="1:21" x14ac:dyDescent="0.5">
      <c r="Q12" s="98" t="s">
        <v>13</v>
      </c>
      <c r="R12" s="98"/>
      <c r="S12" s="98"/>
    </row>
    <row r="13" spans="1:21" x14ac:dyDescent="0.5">
      <c r="Q13" s="83"/>
      <c r="R13" s="83"/>
      <c r="S13" s="83"/>
    </row>
    <row r="14" spans="1:21" x14ac:dyDescent="0.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/>
      <c r="R14" s="16"/>
      <c r="S14" s="16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"/>
  <sheetViews>
    <sheetView zoomScale="115" zoomScaleNormal="115" workbookViewId="0">
      <pane ySplit="3" topLeftCell="A16" activePane="bottomLeft" state="frozen"/>
      <selection activeCell="O29" sqref="O29"/>
      <selection pane="bottomLeft" activeCell="K20" sqref="K20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6.25" style="1" customWidth="1"/>
    <col min="4" max="4" width="7.875" style="14" customWidth="1"/>
    <col min="5" max="5" width="12.75" style="1" customWidth="1"/>
    <col min="6" max="6" width="7" style="1" customWidth="1"/>
    <col min="7" max="8" width="12.5" style="1" customWidth="1"/>
    <col min="9" max="9" width="6.5" style="1" customWidth="1"/>
    <col min="10" max="10" width="7.5" style="1" customWidth="1"/>
    <col min="11" max="11" width="12.125" style="1" customWidth="1"/>
    <col min="12" max="12" width="12.375" style="1" hidden="1" customWidth="1"/>
    <col min="13" max="13" width="8.25" style="1" hidden="1" customWidth="1"/>
    <col min="14" max="14" width="10.25" style="1" hidden="1" customWidth="1"/>
    <col min="15" max="15" width="11.875" style="1" hidden="1" customWidth="1"/>
    <col min="16" max="16" width="12.125" style="1" customWidth="1"/>
    <col min="17" max="17" width="7.875" style="1" customWidth="1"/>
    <col min="18" max="18" width="7.375" style="1" customWidth="1"/>
    <col min="19" max="19" width="12.7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x14ac:dyDescent="0.5">
      <c r="A2" s="100" t="s">
        <v>0</v>
      </c>
      <c r="B2" s="101"/>
      <c r="C2" s="59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1" ht="26.25" customHeight="1" x14ac:dyDescent="0.5">
      <c r="A3" s="102"/>
      <c r="B3" s="103"/>
      <c r="C3" s="60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28259001.100000001</v>
      </c>
      <c r="F4" s="5">
        <f>SUM(F5:F5)</f>
        <v>0</v>
      </c>
      <c r="G4" s="5">
        <f>SUM(G5:G20)</f>
        <v>28259001.100000001</v>
      </c>
      <c r="H4" s="5">
        <f t="shared" ref="H4:H5" si="0">J4+K4</f>
        <v>25818722.610000003</v>
      </c>
      <c r="I4" s="5">
        <f>H4*100/E4</f>
        <v>91.364597491027396</v>
      </c>
      <c r="J4" s="5">
        <f>SUM(J5:J5)</f>
        <v>0</v>
      </c>
      <c r="K4" s="5">
        <f>SUM(K5:K20)</f>
        <v>25818722.610000003</v>
      </c>
      <c r="L4" s="5">
        <f>N4+O4</f>
        <v>0</v>
      </c>
      <c r="M4" s="5">
        <f>L4*100/E4</f>
        <v>0</v>
      </c>
      <c r="N4" s="5">
        <f>SUM(N5:N5)</f>
        <v>0</v>
      </c>
      <c r="O4" s="5">
        <f>SUM(O5:O16)</f>
        <v>0</v>
      </c>
      <c r="P4" s="5">
        <f>E4-H4-L4</f>
        <v>2440278.4899999984</v>
      </c>
      <c r="Q4" s="5">
        <f>P4*100/E4</f>
        <v>8.6354025089726125</v>
      </c>
      <c r="R4" s="5">
        <f t="shared" ref="R4:S5" si="1">F4-J4-N4</f>
        <v>0</v>
      </c>
      <c r="S4" s="5">
        <f>G4-K4-O4</f>
        <v>2440278.4899999984</v>
      </c>
      <c r="T4" s="16">
        <f>I4+Q4</f>
        <v>100.00000000000001</v>
      </c>
      <c r="U4" s="16">
        <f>P4+H4</f>
        <v>28259001.100000001</v>
      </c>
    </row>
    <row r="5" spans="1:21" ht="54.75" customHeight="1" x14ac:dyDescent="0.5">
      <c r="A5" s="13">
        <v>1</v>
      </c>
      <c r="B5" s="61" t="str">
        <f>[59]รายการสรุป!$E$5</f>
        <v>กำจัดวัชพืชภายในอ่างเก็บน้ำเขื่อนกิ่วลม โครงการส่งน้ำและบำรุงรักษากิ่วลม-กิ่วคอหมา ต.บ้านแลง อ.เมือง จ.ลำปาง</v>
      </c>
      <c r="C5" s="62" t="str">
        <f>[59]รายการสรุป!$I$5</f>
        <v>0700356001410669</v>
      </c>
      <c r="D5" s="64" t="s">
        <v>57</v>
      </c>
      <c r="E5" s="62">
        <f t="shared" ref="E5" si="2">F5+G5</f>
        <v>547565.55000000005</v>
      </c>
      <c r="F5" s="62">
        <v>0</v>
      </c>
      <c r="G5" s="63">
        <f>[59]รายการสรุป!$J$5</f>
        <v>547565.55000000005</v>
      </c>
      <c r="H5" s="62">
        <f t="shared" si="0"/>
        <v>547565.55000000005</v>
      </c>
      <c r="I5" s="62">
        <f t="shared" ref="I5" si="3">H5*100/E5</f>
        <v>100</v>
      </c>
      <c r="J5" s="62">
        <v>0</v>
      </c>
      <c r="K5" s="62">
        <f>243360+156240+71665+4480+16340+16340+17060.55+22080</f>
        <v>547565.55000000005</v>
      </c>
      <c r="L5" s="62">
        <f t="shared" ref="L5" si="4">N5+O5</f>
        <v>0</v>
      </c>
      <c r="M5" s="62">
        <f t="shared" ref="M5" si="5">L5*100/E5</f>
        <v>0</v>
      </c>
      <c r="N5" s="62">
        <v>0</v>
      </c>
      <c r="O5" s="62">
        <v>0</v>
      </c>
      <c r="P5" s="62">
        <f t="shared" ref="P5" si="6">R5+S5</f>
        <v>0</v>
      </c>
      <c r="Q5" s="62">
        <f t="shared" ref="Q5" si="7">P5*100/E5</f>
        <v>0</v>
      </c>
      <c r="R5" s="62">
        <f t="shared" si="1"/>
        <v>0</v>
      </c>
      <c r="S5" s="62">
        <f t="shared" si="1"/>
        <v>0</v>
      </c>
    </row>
    <row r="6" spans="1:21" ht="44.25" customHeight="1" x14ac:dyDescent="0.5">
      <c r="A6" s="13">
        <v>2</v>
      </c>
      <c r="B6" s="61" t="str">
        <f>[59]รายการสรุป!$E$6</f>
        <v>กำจัดวัชพืชโครงการส่งน้ำและบำรุงรักษาแม่วัง ต.บ้านแลง อ.เมือง จ.ลำปาง</v>
      </c>
      <c r="C6" s="62" t="str">
        <f>[59]รายการสรุป!$I$6</f>
        <v>0700356001410668</v>
      </c>
      <c r="D6" s="64" t="s">
        <v>70</v>
      </c>
      <c r="E6" s="62">
        <f t="shared" ref="E6" si="8">F6+G6</f>
        <v>686806.45</v>
      </c>
      <c r="F6" s="62">
        <v>0</v>
      </c>
      <c r="G6" s="63">
        <f>[59]รายการสรุป!$J$6</f>
        <v>686806.45</v>
      </c>
      <c r="H6" s="62">
        <f t="shared" ref="H6" si="9">J6+K6</f>
        <v>686806.45000000007</v>
      </c>
      <c r="I6" s="62">
        <f t="shared" ref="I6" si="10">H6*100/E6</f>
        <v>100</v>
      </c>
      <c r="J6" s="62">
        <v>0</v>
      </c>
      <c r="K6" s="62">
        <f>39495+252360+180894+6340+8728.7+8312.05+154972+9125.55+11179.15+8620+6780</f>
        <v>686806.45000000007</v>
      </c>
      <c r="L6" s="62">
        <f t="shared" ref="L6" si="11">N6+O6</f>
        <v>0</v>
      </c>
      <c r="M6" s="62">
        <f t="shared" ref="M6" si="12">L6*100/E6</f>
        <v>0</v>
      </c>
      <c r="N6" s="62">
        <v>0</v>
      </c>
      <c r="O6" s="62">
        <v>0</v>
      </c>
      <c r="P6" s="62">
        <f t="shared" ref="P6" si="13">R6+S6</f>
        <v>-1.1641532182693481E-10</v>
      </c>
      <c r="Q6" s="62">
        <f t="shared" ref="Q6" si="14">P6*100/E6</f>
        <v>-1.6950237119487567E-14</v>
      </c>
      <c r="R6" s="62">
        <f t="shared" ref="R6" si="15">F6-J6-N6</f>
        <v>0</v>
      </c>
      <c r="S6" s="62">
        <f t="shared" ref="S6" si="16">G6-K6-O6</f>
        <v>-1.1641532182693481E-10</v>
      </c>
    </row>
    <row r="7" spans="1:21" ht="47.25" customHeight="1" x14ac:dyDescent="0.5">
      <c r="A7" s="13">
        <v>3</v>
      </c>
      <c r="B7" s="61" t="str">
        <f>[59]รายการสรุป!$E$7</f>
        <v>กำจัดวัชพืชคลองระบายห้วยผาตันโครงการส่งน้ำและบำรุงรักษากิ่วลม-กิ่วคอหมา ต.บุญนาคพัฒนา อ.เมือง จ.ลำปาง</v>
      </c>
      <c r="C7" s="62" t="str">
        <f>[59]รายการสรุป!$I$7</f>
        <v>0700356001410670</v>
      </c>
      <c r="D7" s="64" t="s">
        <v>70</v>
      </c>
      <c r="E7" s="62">
        <f t="shared" ref="E7:E14" si="17">F7+G7</f>
        <v>78211</v>
      </c>
      <c r="F7" s="62">
        <v>0</v>
      </c>
      <c r="G7" s="63">
        <f>[59]รายการสรุป!$J$7</f>
        <v>78211</v>
      </c>
      <c r="H7" s="62">
        <f t="shared" ref="H7:H14" si="18">J7+K7</f>
        <v>78211</v>
      </c>
      <c r="I7" s="62">
        <f t="shared" ref="I7:I14" si="19">H7*100/E7</f>
        <v>100</v>
      </c>
      <c r="J7" s="62">
        <v>0</v>
      </c>
      <c r="K7" s="62">
        <f>3996+47668+3260+21027+2260</f>
        <v>78211</v>
      </c>
      <c r="L7" s="62">
        <f t="shared" ref="L7:L14" si="20">N7+O7</f>
        <v>0</v>
      </c>
      <c r="M7" s="62">
        <f t="shared" ref="M7:M14" si="21">L7*100/E7</f>
        <v>0</v>
      </c>
      <c r="N7" s="62">
        <v>0</v>
      </c>
      <c r="O7" s="62">
        <v>0</v>
      </c>
      <c r="P7" s="62">
        <f t="shared" ref="P7:P14" si="22">R7+S7</f>
        <v>0</v>
      </c>
      <c r="Q7" s="62">
        <f t="shared" ref="Q7:Q14" si="23">P7*100/E7</f>
        <v>0</v>
      </c>
      <c r="R7" s="62">
        <f t="shared" ref="R7:R14" si="24">F7-J7-N7</f>
        <v>0</v>
      </c>
      <c r="S7" s="62">
        <f t="shared" ref="S7:S14" si="25">G7-K7-O7</f>
        <v>0</v>
      </c>
    </row>
    <row r="8" spans="1:21" ht="47.25" customHeight="1" x14ac:dyDescent="0.5">
      <c r="A8" s="13">
        <v>4</v>
      </c>
      <c r="B8" s="61" t="str">
        <f>[59]รายการสรุป!$E$8</f>
        <v>กำจัดวัชพืชคลองระบายห้วยหลวงโครงการส่งน้ำและบำรุงรักษากิ่วลม-กิ่วคอหมา ต.บุญนาคพัฒนา อ.เมือง จ.ลำปาง</v>
      </c>
      <c r="C8" s="62" t="str">
        <f>[59]รายการสรุป!$I$8</f>
        <v>0700356001410671</v>
      </c>
      <c r="D8" s="64" t="s">
        <v>70</v>
      </c>
      <c r="E8" s="62">
        <f t="shared" si="17"/>
        <v>104886</v>
      </c>
      <c r="F8" s="62">
        <v>0</v>
      </c>
      <c r="G8" s="63">
        <f>[59]รายการสรุป!$J$8</f>
        <v>104886</v>
      </c>
      <c r="H8" s="62">
        <f t="shared" si="18"/>
        <v>104886</v>
      </c>
      <c r="I8" s="62">
        <f t="shared" si="19"/>
        <v>100</v>
      </c>
      <c r="J8" s="62">
        <v>0</v>
      </c>
      <c r="K8" s="62">
        <f>14796+53276+29054+7760</f>
        <v>104886</v>
      </c>
      <c r="L8" s="62">
        <f t="shared" si="20"/>
        <v>0</v>
      </c>
      <c r="M8" s="62">
        <f t="shared" si="21"/>
        <v>0</v>
      </c>
      <c r="N8" s="62">
        <v>0</v>
      </c>
      <c r="O8" s="62">
        <v>0</v>
      </c>
      <c r="P8" s="62">
        <f t="shared" si="22"/>
        <v>0</v>
      </c>
      <c r="Q8" s="62">
        <f t="shared" si="23"/>
        <v>0</v>
      </c>
      <c r="R8" s="62">
        <f t="shared" si="24"/>
        <v>0</v>
      </c>
      <c r="S8" s="62">
        <f t="shared" si="25"/>
        <v>0</v>
      </c>
    </row>
    <row r="9" spans="1:21" ht="47.25" customHeight="1" x14ac:dyDescent="0.5">
      <c r="A9" s="13">
        <v>5</v>
      </c>
      <c r="B9" s="61" t="str">
        <f>[59]รายการสรุป!$E$9</f>
        <v>กำจัดวัชพืชคลองระบายห้วยแม่ตุ๋ยโครงการส่งน้ำและบำรุงรักษากิ่วลม-กิ่วคอหมา ต.บ้านเป้า อ.เมือง จ.ลำปาง</v>
      </c>
      <c r="C9" s="62" t="str">
        <f>[59]รายการสรุป!$I$9</f>
        <v>0700356001410672</v>
      </c>
      <c r="D9" s="64" t="s">
        <v>70</v>
      </c>
      <c r="E9" s="62">
        <f t="shared" si="17"/>
        <v>168316</v>
      </c>
      <c r="F9" s="62">
        <v>0</v>
      </c>
      <c r="G9" s="63">
        <f>[59]รายการสรุป!$J$9</f>
        <v>168316</v>
      </c>
      <c r="H9" s="62">
        <f t="shared" si="18"/>
        <v>168316</v>
      </c>
      <c r="I9" s="62">
        <f t="shared" si="19"/>
        <v>100</v>
      </c>
      <c r="J9" s="62">
        <v>0</v>
      </c>
      <c r="K9" s="62">
        <f>30075+81316+45500+6380+5045</f>
        <v>168316</v>
      </c>
      <c r="L9" s="62">
        <f t="shared" si="20"/>
        <v>0</v>
      </c>
      <c r="M9" s="62">
        <f t="shared" si="21"/>
        <v>0</v>
      </c>
      <c r="N9" s="62">
        <v>0</v>
      </c>
      <c r="O9" s="62">
        <v>0</v>
      </c>
      <c r="P9" s="62">
        <f t="shared" si="22"/>
        <v>0</v>
      </c>
      <c r="Q9" s="62">
        <f t="shared" si="23"/>
        <v>0</v>
      </c>
      <c r="R9" s="62">
        <f t="shared" si="24"/>
        <v>0</v>
      </c>
      <c r="S9" s="62">
        <f t="shared" si="25"/>
        <v>0</v>
      </c>
    </row>
    <row r="10" spans="1:21" ht="52.5" customHeight="1" x14ac:dyDescent="0.5">
      <c r="A10" s="13">
        <v>6</v>
      </c>
      <c r="B10" s="61" t="str">
        <f>[59]รายการสรุป!$E$10</f>
        <v>กำจัดวัชพืชบริเวณโครงการส่งน้ำและบำรุงรักษาแม่ลาว ต.ดงมะดะ อ.แม่ลาว จ.เชียงราย</v>
      </c>
      <c r="C10" s="62" t="str">
        <f>[59]รายการสรุป!$I$10</f>
        <v>0700356001410673</v>
      </c>
      <c r="D10" s="64" t="s">
        <v>70</v>
      </c>
      <c r="E10" s="62">
        <f t="shared" si="17"/>
        <v>686089.25</v>
      </c>
      <c r="F10" s="62">
        <v>0</v>
      </c>
      <c r="G10" s="63">
        <f>[59]รายการสรุป!$J$10</f>
        <v>686089.25</v>
      </c>
      <c r="H10" s="62">
        <f t="shared" si="18"/>
        <v>686089.25</v>
      </c>
      <c r="I10" s="62">
        <f t="shared" si="19"/>
        <v>100</v>
      </c>
      <c r="J10" s="62">
        <v>0</v>
      </c>
      <c r="K10" s="62">
        <f>39495+252360+181000+26186.1+25536.15+6540+154972</f>
        <v>686089.25</v>
      </c>
      <c r="L10" s="62">
        <f t="shared" si="20"/>
        <v>0</v>
      </c>
      <c r="M10" s="62">
        <f t="shared" si="21"/>
        <v>0</v>
      </c>
      <c r="N10" s="62">
        <v>0</v>
      </c>
      <c r="O10" s="62">
        <v>0</v>
      </c>
      <c r="P10" s="62">
        <f t="shared" si="22"/>
        <v>0</v>
      </c>
      <c r="Q10" s="62">
        <f t="shared" si="23"/>
        <v>0</v>
      </c>
      <c r="R10" s="62">
        <f t="shared" si="24"/>
        <v>0</v>
      </c>
      <c r="S10" s="62">
        <f t="shared" si="25"/>
        <v>0</v>
      </c>
    </row>
    <row r="11" spans="1:21" ht="44.25" customHeight="1" x14ac:dyDescent="0.5">
      <c r="A11" s="13">
        <v>7</v>
      </c>
      <c r="B11" s="61" t="str">
        <f>[59]รายการสรุป!$E$11</f>
        <v>กำจัดวัชพืชโครงการชลประทานน่าน ต.ไชยสถาน อ.เมือง จ.น่าน</v>
      </c>
      <c r="C11" s="62" t="str">
        <f>[59]รายการสรุป!$I$11</f>
        <v>0700356001410674</v>
      </c>
      <c r="D11" s="64" t="s">
        <v>70</v>
      </c>
      <c r="E11" s="62">
        <f t="shared" si="17"/>
        <v>484344.4</v>
      </c>
      <c r="F11" s="62">
        <v>0</v>
      </c>
      <c r="G11" s="63">
        <f>[59]รายการสรุป!$J$11</f>
        <v>484344.4</v>
      </c>
      <c r="H11" s="62">
        <f t="shared" si="18"/>
        <v>484344.39999999997</v>
      </c>
      <c r="I11" s="62">
        <f t="shared" si="19"/>
        <v>100</v>
      </c>
      <c r="J11" s="62">
        <v>0</v>
      </c>
      <c r="K11" s="62">
        <f>69570+243948+127977+18251.1+22358.3+2240</f>
        <v>484344.39999999997</v>
      </c>
      <c r="L11" s="62">
        <f t="shared" si="20"/>
        <v>0</v>
      </c>
      <c r="M11" s="62">
        <f t="shared" si="21"/>
        <v>0</v>
      </c>
      <c r="N11" s="62">
        <v>0</v>
      </c>
      <c r="O11" s="62">
        <v>0</v>
      </c>
      <c r="P11" s="62">
        <f t="shared" si="22"/>
        <v>5.8207660913467407E-11</v>
      </c>
      <c r="Q11" s="62">
        <f t="shared" si="23"/>
        <v>1.2017824695292731E-14</v>
      </c>
      <c r="R11" s="62">
        <f t="shared" si="24"/>
        <v>0</v>
      </c>
      <c r="S11" s="62">
        <f t="shared" si="25"/>
        <v>5.8207660913467407E-11</v>
      </c>
    </row>
    <row r="12" spans="1:21" ht="41.25" customHeight="1" x14ac:dyDescent="0.5">
      <c r="A12" s="13">
        <v>8</v>
      </c>
      <c r="B12" s="61" t="str">
        <f>[59]รายการสรุป!$E$12</f>
        <v>กำจัดวัชพืชบริเวณโครงการชลประทานลำปาง ต.บ่อแฮ้ว อ.เมือง จ.ลำปาง</v>
      </c>
      <c r="C12" s="62" t="str">
        <f>[59]รายการสรุป!$I$12</f>
        <v>0700356001410675</v>
      </c>
      <c r="D12" s="64" t="s">
        <v>70</v>
      </c>
      <c r="E12" s="62">
        <f t="shared" si="17"/>
        <v>603175.4</v>
      </c>
      <c r="F12" s="62">
        <v>0</v>
      </c>
      <c r="G12" s="63">
        <f>[59]รายการสรุป!$J$12</f>
        <v>603175.4</v>
      </c>
      <c r="H12" s="62">
        <f t="shared" si="18"/>
        <v>603175.4</v>
      </c>
      <c r="I12" s="62">
        <f t="shared" si="19"/>
        <v>100</v>
      </c>
      <c r="J12" s="62">
        <v>0</v>
      </c>
      <c r="K12" s="62">
        <f>69570+252360+70176+160000+18251.1+22358.3+8620+1840</f>
        <v>603175.4</v>
      </c>
      <c r="L12" s="62">
        <f t="shared" si="20"/>
        <v>0</v>
      </c>
      <c r="M12" s="62">
        <f t="shared" si="21"/>
        <v>0</v>
      </c>
      <c r="N12" s="62">
        <v>0</v>
      </c>
      <c r="O12" s="62">
        <v>0</v>
      </c>
      <c r="P12" s="62">
        <f t="shared" si="22"/>
        <v>0</v>
      </c>
      <c r="Q12" s="62">
        <f t="shared" si="23"/>
        <v>0</v>
      </c>
      <c r="R12" s="62">
        <f t="shared" si="24"/>
        <v>0</v>
      </c>
      <c r="S12" s="62">
        <f t="shared" si="25"/>
        <v>0</v>
      </c>
    </row>
    <row r="13" spans="1:21" ht="54.75" customHeight="1" x14ac:dyDescent="0.5">
      <c r="A13" s="13">
        <v>9</v>
      </c>
      <c r="B13" s="61" t="str">
        <f>[59]รายการสรุป!$E$13</f>
        <v>กำจัดวัชพืชโครงการพัฒนาการเกษตรแม่สาย โครงการชลประทานเชียงราย ต.แม่สาย อ.แม่สาย จ.เชียงราย</v>
      </c>
      <c r="C13" s="62" t="str">
        <f>[59]รายการสรุป!$I$13</f>
        <v>0700356001410B74</v>
      </c>
      <c r="D13" s="64" t="s">
        <v>70</v>
      </c>
      <c r="E13" s="62">
        <f t="shared" si="17"/>
        <v>321167.7</v>
      </c>
      <c r="F13" s="62">
        <v>0</v>
      </c>
      <c r="G13" s="63">
        <f>[59]รายการสรุป!$J$13</f>
        <v>321167.7</v>
      </c>
      <c r="H13" s="62">
        <f t="shared" si="18"/>
        <v>321167.7</v>
      </c>
      <c r="I13" s="62">
        <f t="shared" si="19"/>
        <v>100</v>
      </c>
      <c r="J13" s="62">
        <v>0</v>
      </c>
      <c r="K13" s="62">
        <f>48675+159828+7360+45010+39990+9125.55+11179.15</f>
        <v>321167.7</v>
      </c>
      <c r="L13" s="62">
        <f t="shared" si="20"/>
        <v>0</v>
      </c>
      <c r="M13" s="62">
        <f t="shared" si="21"/>
        <v>0</v>
      </c>
      <c r="N13" s="62">
        <v>0</v>
      </c>
      <c r="O13" s="62">
        <v>0</v>
      </c>
      <c r="P13" s="62">
        <f t="shared" si="22"/>
        <v>0</v>
      </c>
      <c r="Q13" s="62">
        <f t="shared" si="23"/>
        <v>0</v>
      </c>
      <c r="R13" s="62">
        <f t="shared" si="24"/>
        <v>0</v>
      </c>
      <c r="S13" s="62">
        <f t="shared" si="25"/>
        <v>0</v>
      </c>
    </row>
    <row r="14" spans="1:21" ht="54.75" customHeight="1" x14ac:dyDescent="0.5">
      <c r="A14" s="13">
        <v>10</v>
      </c>
      <c r="B14" s="61" t="str">
        <f>[59]รายการสรุป!$E$14</f>
        <v>กำจัดวัชพืชคลอง LMCอ่างเก็บน้ำแม่ต๊าก โครงการชลประทานเชียงราย ต.ดอนศิลา อ.เวียงชัย จ.เชียงราย</v>
      </c>
      <c r="C14" s="62" t="str">
        <f>[59]รายการสรุป!$I$14</f>
        <v>0700356001410B75</v>
      </c>
      <c r="D14" s="64" t="s">
        <v>70</v>
      </c>
      <c r="E14" s="62">
        <f t="shared" si="17"/>
        <v>170140.1</v>
      </c>
      <c r="F14" s="62">
        <v>0</v>
      </c>
      <c r="G14" s="63">
        <f>[59]รายการสรุป!$J$14</f>
        <v>170140.1</v>
      </c>
      <c r="H14" s="62">
        <f t="shared" si="18"/>
        <v>170140.1</v>
      </c>
      <c r="I14" s="62">
        <f t="shared" si="19"/>
        <v>100</v>
      </c>
      <c r="J14" s="62">
        <v>0</v>
      </c>
      <c r="K14" s="62">
        <f>30075+81316+45500+3680+9569.1</f>
        <v>170140.1</v>
      </c>
      <c r="L14" s="62">
        <f t="shared" si="20"/>
        <v>0</v>
      </c>
      <c r="M14" s="62">
        <f t="shared" si="21"/>
        <v>0</v>
      </c>
      <c r="N14" s="62">
        <v>0</v>
      </c>
      <c r="O14" s="62">
        <v>0</v>
      </c>
      <c r="P14" s="62">
        <f t="shared" si="22"/>
        <v>0</v>
      </c>
      <c r="Q14" s="62">
        <f t="shared" si="23"/>
        <v>0</v>
      </c>
      <c r="R14" s="62">
        <f t="shared" si="24"/>
        <v>0</v>
      </c>
      <c r="S14" s="62">
        <f t="shared" si="25"/>
        <v>0</v>
      </c>
    </row>
    <row r="15" spans="1:21" ht="51" customHeight="1" x14ac:dyDescent="0.5">
      <c r="A15" s="13">
        <v>11</v>
      </c>
      <c r="B15" s="11" t="str">
        <f>[60]รายการสรุป!$E$5</f>
        <v>ขุดลอกคลองโดยรถขุดดำเนินการเองคลองส่งน้ำแม่วังฝั่งขวาโครงการส่งน้ำและบำรุงรักษาแม่วัง จ.ลำปาง</v>
      </c>
      <c r="C15" s="62" t="str">
        <f>[60]รายการสรุป!$I$5</f>
        <v>0700349052410W61</v>
      </c>
      <c r="D15" s="64" t="s">
        <v>60</v>
      </c>
      <c r="E15" s="62">
        <f t="shared" ref="E15" si="26">F15+G15</f>
        <v>116989.25</v>
      </c>
      <c r="F15" s="62">
        <v>0</v>
      </c>
      <c r="G15" s="63">
        <f>[60]รายการสรุป!$J$5</f>
        <v>116989.25</v>
      </c>
      <c r="H15" s="62">
        <f t="shared" ref="H15" si="27">J15+K15</f>
        <v>116989.25</v>
      </c>
      <c r="I15" s="62">
        <f t="shared" ref="I15" si="28">H15*100/E15</f>
        <v>100</v>
      </c>
      <c r="J15" s="62">
        <v>0</v>
      </c>
      <c r="K15" s="62">
        <f>10647+3570.65+90869.1+11902.5</f>
        <v>116989.25</v>
      </c>
      <c r="L15" s="62">
        <f t="shared" ref="L15" si="29">N15+O15</f>
        <v>0</v>
      </c>
      <c r="M15" s="62">
        <f t="shared" ref="M15" si="30">L15*100/E15</f>
        <v>0</v>
      </c>
      <c r="N15" s="62">
        <v>0</v>
      </c>
      <c r="O15" s="62">
        <v>0</v>
      </c>
      <c r="P15" s="62">
        <f t="shared" ref="P15" si="31">R15+S15</f>
        <v>0</v>
      </c>
      <c r="Q15" s="62">
        <f t="shared" ref="Q15" si="32">P15*100/E15</f>
        <v>0</v>
      </c>
      <c r="R15" s="62">
        <f t="shared" ref="R15" si="33">F15-J15-N15</f>
        <v>0</v>
      </c>
      <c r="S15" s="62">
        <f t="shared" ref="S15" si="34">G15-K15-O15</f>
        <v>0</v>
      </c>
    </row>
    <row r="16" spans="1:21" ht="50.25" customHeight="1" x14ac:dyDescent="0.5">
      <c r="A16" s="13">
        <v>12</v>
      </c>
      <c r="B16" s="39" t="str">
        <f>[60]รายการสรุป!$E$6</f>
        <v>ขุดลอกคลองโดยเรือขุดดำเนินการเอง แม่น้ำวังท้ายเขื่อนกิ่วคอหมา กม.19+000 - กม.24+500 โครงการส่งน่ำน้ำบำรุงรักษากิ่วลม กิ่วคอหมา ต.บ้านสา อ.แจ้ห่ม จ.ลำปาง</v>
      </c>
      <c r="C16" s="15" t="str">
        <f>[60]รายการสรุป!$I$6</f>
        <v>0700349052410W13</v>
      </c>
      <c r="D16" s="29" t="s">
        <v>61</v>
      </c>
      <c r="E16" s="47">
        <f t="shared" ref="E16" si="35">F16+G16</f>
        <v>7100000</v>
      </c>
      <c r="F16" s="47">
        <v>0</v>
      </c>
      <c r="G16" s="48">
        <f>[60]รายการสรุป!$J$6</f>
        <v>7100000</v>
      </c>
      <c r="H16" s="47">
        <f t="shared" ref="H16" si="36">J16+K16</f>
        <v>7096742.46</v>
      </c>
      <c r="I16" s="47">
        <f t="shared" ref="I16" si="37">H16*100/E16</f>
        <v>99.954119154929572</v>
      </c>
      <c r="J16" s="62">
        <v>0</v>
      </c>
      <c r="K16" s="47">
        <f>81485+237330+448430+499040+237330+241560+10500+240930+800+2600+237330+116868+26000+11041+240930+18795.01+5900+7580+442000+252360+251730+85300.75+43203.9+255330+251730+21680+474100+38087.6+252360+74986.65+480000+373874+254430+147031+40071.85+44005.2+15960+204692+169039+9457+129128.8+121735.7</f>
        <v>7096742.46</v>
      </c>
      <c r="L16" s="47">
        <f t="shared" ref="L16" si="38">N16+O16</f>
        <v>0</v>
      </c>
      <c r="M16" s="47">
        <f t="shared" ref="M16" si="39">L16*100/E16</f>
        <v>0</v>
      </c>
      <c r="N16" s="47">
        <v>0</v>
      </c>
      <c r="O16" s="47">
        <v>0</v>
      </c>
      <c r="P16" s="47">
        <f t="shared" ref="P16" si="40">R16+S16</f>
        <v>3257.5400000000373</v>
      </c>
      <c r="Q16" s="47">
        <f t="shared" ref="Q16" si="41">P16*100/E16</f>
        <v>4.588084507042306E-2</v>
      </c>
      <c r="R16" s="47">
        <f t="shared" ref="R16" si="42">F16-J16-N16</f>
        <v>0</v>
      </c>
      <c r="S16" s="47">
        <f t="shared" ref="S16" si="43">G16-K16-O16</f>
        <v>3257.5400000000373</v>
      </c>
    </row>
    <row r="17" spans="1:21" ht="33" customHeight="1" x14ac:dyDescent="0.5">
      <c r="A17" s="13">
        <v>13</v>
      </c>
      <c r="B17" s="39" t="str">
        <f>[60]รายการสรุป!$E$7</f>
        <v>เพิ่มประสิทธิภาพการกักเก็บน้ำอ่างเก็บน้ำเขื่อนกิ่วลม จ.ลำปาง</v>
      </c>
      <c r="C17" s="71" t="str">
        <f>[60]รายการสรุป!$I$7</f>
        <v>0700349052410ZJ1</v>
      </c>
      <c r="D17" s="64" t="s">
        <v>76</v>
      </c>
      <c r="E17" s="52">
        <f t="shared" ref="E17:E18" si="44">F17+G17</f>
        <v>1779770</v>
      </c>
      <c r="F17" s="52">
        <v>0</v>
      </c>
      <c r="G17" s="53">
        <f>[60]รายการสรุป!$J$7</f>
        <v>1779770</v>
      </c>
      <c r="H17" s="70">
        <f t="shared" ref="H17:H18" si="45">J17+K17</f>
        <v>1723788.9000000001</v>
      </c>
      <c r="I17" s="70">
        <f t="shared" ref="I17:I18" si="46">H17*100/E17</f>
        <v>96.854587952375866</v>
      </c>
      <c r="J17" s="70">
        <v>0</v>
      </c>
      <c r="K17" s="70">
        <f>84120+17457.4+13080+17024.1+202740+250560+245160+241560+238860+16840+238860+99678+18251.1+22358.3+17240</f>
        <v>1723788.9000000001</v>
      </c>
      <c r="L17" s="70">
        <f t="shared" ref="L17:L18" si="47">N17+O17</f>
        <v>0</v>
      </c>
      <c r="M17" s="70">
        <f t="shared" ref="M17:M18" si="48">L17*100/E17</f>
        <v>0</v>
      </c>
      <c r="N17" s="70">
        <v>0</v>
      </c>
      <c r="O17" s="70">
        <v>0</v>
      </c>
      <c r="P17" s="70">
        <f t="shared" ref="P17:P18" si="49">R17+S17</f>
        <v>55981.09999999986</v>
      </c>
      <c r="Q17" s="70">
        <f t="shared" ref="Q17:Q18" si="50">P17*100/E17</f>
        <v>3.1454120476241232</v>
      </c>
      <c r="R17" s="70">
        <f t="shared" ref="R17:R18" si="51">F17-J17-N17</f>
        <v>0</v>
      </c>
      <c r="S17" s="70">
        <f t="shared" ref="S17:S18" si="52">G17-K17-O17</f>
        <v>55981.09999999986</v>
      </c>
    </row>
    <row r="18" spans="1:21" ht="32.25" customHeight="1" x14ac:dyDescent="0.5">
      <c r="A18" s="13">
        <v>14</v>
      </c>
      <c r="B18" s="39" t="str">
        <f>[60]รายการสรุป!$E$8</f>
        <v>เพิ่มประสิทธิภาพการกักเก็บน้ำเขื่อนกิ่วลม จ.ลำปาง</v>
      </c>
      <c r="C18" s="71" t="str">
        <f>[60]รายการสรุป!$I$8</f>
        <v>0700349052410ZJ3</v>
      </c>
      <c r="D18" s="64" t="s">
        <v>76</v>
      </c>
      <c r="E18" s="52">
        <f t="shared" si="44"/>
        <v>1779770</v>
      </c>
      <c r="F18" s="52">
        <v>0</v>
      </c>
      <c r="G18" s="53">
        <f>[60]รายการสรุป!$J$8</f>
        <v>1779770</v>
      </c>
      <c r="H18" s="70">
        <f t="shared" si="45"/>
        <v>1773070.55</v>
      </c>
      <c r="I18" s="70">
        <f t="shared" si="46"/>
        <v>99.623577765666354</v>
      </c>
      <c r="J18" s="70">
        <v>0</v>
      </c>
      <c r="K18" s="70">
        <f>84120+251730+251730+251730+69829.6+64896.4+6140+259830+143850+99970+174490+40866.55+48428+8620+8420+8420</f>
        <v>1773070.55</v>
      </c>
      <c r="L18" s="70">
        <f t="shared" si="47"/>
        <v>0</v>
      </c>
      <c r="M18" s="70">
        <f t="shared" si="48"/>
        <v>0</v>
      </c>
      <c r="N18" s="70">
        <v>0</v>
      </c>
      <c r="O18" s="70">
        <v>0</v>
      </c>
      <c r="P18" s="70">
        <f t="shared" si="49"/>
        <v>6699.4499999999534</v>
      </c>
      <c r="Q18" s="70">
        <f t="shared" si="50"/>
        <v>0.37642223433364724</v>
      </c>
      <c r="R18" s="70">
        <f t="shared" si="51"/>
        <v>0</v>
      </c>
      <c r="S18" s="70">
        <f t="shared" si="52"/>
        <v>6699.4499999999534</v>
      </c>
    </row>
    <row r="19" spans="1:21" ht="32.25" customHeight="1" x14ac:dyDescent="0.5">
      <c r="A19" s="13">
        <v>15</v>
      </c>
      <c r="B19" s="39" t="str">
        <f>[61]รายการสรุป!$E$5</f>
        <v>เพิ่มประสิทธิภาพการกักเก็บน้ำเขื่อนกิ่วลม จ.ลำปาง</v>
      </c>
      <c r="C19" s="71" t="str">
        <f>[61]รายการสรุป!$I$5</f>
        <v>0700349054410116</v>
      </c>
      <c r="D19" s="64" t="s">
        <v>79</v>
      </c>
      <c r="E19" s="52">
        <f t="shared" ref="E19" si="53">F19+G19</f>
        <v>6396000</v>
      </c>
      <c r="F19" s="52">
        <v>0</v>
      </c>
      <c r="G19" s="53">
        <f>[61]รายการสรุป!$J$5</f>
        <v>6396000</v>
      </c>
      <c r="H19" s="70">
        <f t="shared" ref="H19" si="54">J19+K19</f>
        <v>5418516.2999999989</v>
      </c>
      <c r="I19" s="70">
        <f t="shared" ref="I19" si="55">H19*100/E19</f>
        <v>84.717265478423997</v>
      </c>
      <c r="J19" s="70">
        <v>0</v>
      </c>
      <c r="K19" s="70">
        <f>100385+258930+256230+259830+3140+96438.6+115870.8+259830+486880+244530+240930+238230+7141.3+95331.5+122056+241830+161400+245430+105564.15+59975.05+67074.9+8620+6620+246330+137333+243630+243630+381666+240030+243630</f>
        <v>5418516.2999999989</v>
      </c>
      <c r="L19" s="70">
        <f t="shared" ref="L19" si="56">N19+O19</f>
        <v>0</v>
      </c>
      <c r="M19" s="70">
        <f t="shared" ref="M19" si="57">L19*100/E19</f>
        <v>0</v>
      </c>
      <c r="N19" s="70">
        <v>0</v>
      </c>
      <c r="O19" s="70">
        <v>0</v>
      </c>
      <c r="P19" s="70">
        <f t="shared" ref="P19" si="58">R19+S19</f>
        <v>977483.70000000112</v>
      </c>
      <c r="Q19" s="70">
        <f t="shared" ref="Q19" si="59">P19*100/E19</f>
        <v>15.282734521576003</v>
      </c>
      <c r="R19" s="70">
        <f t="shared" ref="R19" si="60">F19-J19-N19</f>
        <v>0</v>
      </c>
      <c r="S19" s="70">
        <f t="shared" ref="S19" si="61">G19-K19-O19</f>
        <v>977483.70000000112</v>
      </c>
      <c r="U19" s="16">
        <f>SUM(K19:K20)</f>
        <v>11257429.599999998</v>
      </c>
    </row>
    <row r="20" spans="1:21" ht="32.25" customHeight="1" x14ac:dyDescent="0.5">
      <c r="A20" s="13">
        <v>16</v>
      </c>
      <c r="B20" s="39" t="str">
        <f>[61]รายการสรุป!$E$6</f>
        <v>กำจัดสิ่งกีดขวางทางน้ำแม่วังด้านท้ายเขื่อนกิ่วคอหมา จ.ลำปาง</v>
      </c>
      <c r="C20" s="71" t="str">
        <f>[61]รายการสรุป!$I$6</f>
        <v>0700349054410066</v>
      </c>
      <c r="D20" s="64" t="s">
        <v>79</v>
      </c>
      <c r="E20" s="52">
        <f t="shared" ref="E20" si="62">F20+G20</f>
        <v>7235770</v>
      </c>
      <c r="F20" s="52">
        <v>0</v>
      </c>
      <c r="G20" s="53">
        <f>[61]รายการสรุป!$J$6</f>
        <v>7235770</v>
      </c>
      <c r="H20" s="70">
        <f t="shared" ref="H20" si="63">J20+K20</f>
        <v>5838913.2999999998</v>
      </c>
      <c r="I20" s="70">
        <f t="shared" ref="I20" si="64">H20*100/E20</f>
        <v>80.695120215263884</v>
      </c>
      <c r="J20" s="70">
        <v>0</v>
      </c>
      <c r="K20" s="70">
        <f>121580+256230+52647+256230+259830+97154.4+116433.2+8620+73000+22500+3140+259830+99979+244530+240930+395960+486880+238230+109816.4+141273.6+16840+241830+111655+242730+256540+112456.05+67074.9+69395.75+8620+249930+3428+246330+243630+243630+240030</f>
        <v>5838913.2999999998</v>
      </c>
      <c r="L20" s="70">
        <f t="shared" ref="L20" si="65">N20+O20</f>
        <v>0</v>
      </c>
      <c r="M20" s="70">
        <f t="shared" ref="M20" si="66">L20*100/E20</f>
        <v>0</v>
      </c>
      <c r="N20" s="70">
        <v>0</v>
      </c>
      <c r="O20" s="70">
        <v>0</v>
      </c>
      <c r="P20" s="70">
        <f t="shared" ref="P20" si="67">R20+S20</f>
        <v>1396856.7000000002</v>
      </c>
      <c r="Q20" s="70">
        <f t="shared" ref="Q20" si="68">P20*100/E20</f>
        <v>19.304879784736112</v>
      </c>
      <c r="R20" s="70">
        <f t="shared" ref="R20" si="69">F20-J20-N20</f>
        <v>0</v>
      </c>
      <c r="S20" s="70">
        <f t="shared" ref="S20" si="70">G20-K20-O20</f>
        <v>1396856.7000000002</v>
      </c>
    </row>
    <row r="21" spans="1:21" ht="27.75" customHeight="1" x14ac:dyDescent="0.5">
      <c r="A21" s="10"/>
      <c r="B21" s="12"/>
      <c r="C21" s="12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3" spans="1:21" x14ac:dyDescent="0.5">
      <c r="K23" s="16"/>
      <c r="Q23" s="98" t="s">
        <v>10</v>
      </c>
      <c r="R23" s="98"/>
      <c r="S23" s="98"/>
    </row>
    <row r="24" spans="1:21" x14ac:dyDescent="0.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98" t="s">
        <v>11</v>
      </c>
      <c r="R24" s="98"/>
      <c r="S24" s="98"/>
    </row>
    <row r="25" spans="1:21" x14ac:dyDescent="0.5">
      <c r="K25" s="16"/>
      <c r="Q25" s="98" t="s">
        <v>12</v>
      </c>
      <c r="R25" s="98"/>
      <c r="S25" s="98"/>
    </row>
    <row r="26" spans="1:21" x14ac:dyDescent="0.5">
      <c r="Q26" s="98" t="s">
        <v>13</v>
      </c>
      <c r="R26" s="98"/>
      <c r="S26" s="98"/>
    </row>
    <row r="27" spans="1:21" x14ac:dyDescent="0.5">
      <c r="Q27" s="58"/>
      <c r="R27" s="58"/>
      <c r="S27" s="58"/>
    </row>
    <row r="28" spans="1:21" x14ac:dyDescent="0.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0"/>
      <c r="R28" s="16"/>
      <c r="S28" s="16"/>
    </row>
  </sheetData>
  <mergeCells count="11">
    <mergeCell ref="Q23:S23"/>
    <mergeCell ref="Q24:S24"/>
    <mergeCell ref="Q25:S25"/>
    <mergeCell ref="Q26:S26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8"/>
  <sheetViews>
    <sheetView topLeftCell="C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4" customWidth="1"/>
    <col min="2" max="2" width="66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7" width="13.875" style="1" customWidth="1"/>
    <col min="8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x14ac:dyDescent="0.5">
      <c r="A2" s="100" t="s">
        <v>0</v>
      </c>
      <c r="B2" s="101"/>
      <c r="C2" s="67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1" ht="26.25" customHeight="1" x14ac:dyDescent="0.5">
      <c r="A3" s="102"/>
      <c r="B3" s="103"/>
      <c r="C3" s="68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101141073.02000001</v>
      </c>
      <c r="F4" s="5">
        <f>SUM(F5:F11)</f>
        <v>494353.87</v>
      </c>
      <c r="G4" s="5">
        <f>SUM(G5:G9)</f>
        <v>100646719.15000001</v>
      </c>
      <c r="H4" s="5">
        <f t="shared" ref="H4:H5" si="0">J4+K4</f>
        <v>75257892.659999996</v>
      </c>
      <c r="I4" s="5">
        <f>H4*100/E4</f>
        <v>74.408833536023707</v>
      </c>
      <c r="J4" s="5">
        <f>SUM(J5:J5)</f>
        <v>0</v>
      </c>
      <c r="K4" s="5">
        <f>SUM(K5:K9)</f>
        <v>75257892.659999996</v>
      </c>
      <c r="L4" s="5">
        <f>N4+O4</f>
        <v>0</v>
      </c>
      <c r="M4" s="5">
        <f>L4*100/E4</f>
        <v>0</v>
      </c>
      <c r="N4" s="5">
        <f>SUM(N5:N5)</f>
        <v>0</v>
      </c>
      <c r="O4" s="5">
        <f>SUM(O5:O9)</f>
        <v>0</v>
      </c>
      <c r="P4" s="5">
        <f>E4-H4-L4</f>
        <v>25883180.360000014</v>
      </c>
      <c r="Q4" s="5">
        <f>P4*100/E4</f>
        <v>25.59116646397629</v>
      </c>
      <c r="R4" s="5">
        <f t="shared" ref="R4:S5" si="1">F4-J4-N4</f>
        <v>494353.87</v>
      </c>
      <c r="S4" s="5">
        <f>G4-K4-O4</f>
        <v>25388826.49000001</v>
      </c>
      <c r="T4" s="16">
        <f>I4+Q4</f>
        <v>100</v>
      </c>
      <c r="U4" s="16">
        <f>P4+H4</f>
        <v>101141073.02000001</v>
      </c>
    </row>
    <row r="5" spans="1:21" ht="26.25" customHeight="1" x14ac:dyDescent="0.5">
      <c r="A5" s="13">
        <v>1</v>
      </c>
      <c r="B5" s="61" t="str">
        <f>[62]รายการสรุป!$E$5</f>
        <v>ฝายต้นลำใยพร้อมระบบส่งน้ำ  ต.เสริมขวา อ.เสริมงาม จ.ลำปาง</v>
      </c>
      <c r="C5" s="47" t="str">
        <f>[62]รายการสรุป!$I$5</f>
        <v>0700349053420008</v>
      </c>
      <c r="D5" s="64" t="s">
        <v>60</v>
      </c>
      <c r="E5" s="62">
        <f t="shared" ref="E5" si="2">F5+G5</f>
        <v>23049063.850000001</v>
      </c>
      <c r="F5" s="62">
        <v>0</v>
      </c>
      <c r="G5" s="63">
        <f>[62]รายการสรุป!$J$5</f>
        <v>23049063.850000001</v>
      </c>
      <c r="H5" s="62">
        <f t="shared" si="0"/>
        <v>17303615.630000003</v>
      </c>
      <c r="I5" s="62">
        <f t="shared" ref="I5" si="3">H5*100/E5</f>
        <v>75.072964969898337</v>
      </c>
      <c r="J5" s="62">
        <v>0</v>
      </c>
      <c r="K5" s="62">
        <f>52400+456018+477800+45601.25+25194.3+7760+271302.4+187907.2+677138.5+486700+29646+19985+48001+19867.1+237110.6+306427.95+7580+182500+313530+1429901.35+57400+595821.5+542748.55+13860+577955.8+455000+584750+11834.63+99945+109500+406303+476874.5+262573.7+156297.15+209918.1+118997.2+7800+4740+78320+109500+34387+5120+59020+341250+341250+27140.4+7000+438770.95+314011.8+12480+57590+73000+4166.05+410625+434268.55+587400+587400+587400+587400+11304.4+14380+364208.05+71500+5120+93515.5+8500+10950+16022+27825.6+532975.9+6360+28867.6+14980+437517.05+587400</f>
        <v>17303615.630000003</v>
      </c>
      <c r="L5" s="62">
        <f t="shared" ref="L5" si="4">N5+O5</f>
        <v>0</v>
      </c>
      <c r="M5" s="62">
        <f t="shared" ref="M5" si="5">L5*100/E5</f>
        <v>0</v>
      </c>
      <c r="N5" s="62">
        <v>0</v>
      </c>
      <c r="O5" s="62">
        <v>0</v>
      </c>
      <c r="P5" s="62">
        <f t="shared" ref="P5" si="6">R5+S5</f>
        <v>5745448.2199999988</v>
      </c>
      <c r="Q5" s="62">
        <f t="shared" ref="Q5" si="7">P5*100/E5</f>
        <v>24.92703503010166</v>
      </c>
      <c r="R5" s="62">
        <f t="shared" si="1"/>
        <v>0</v>
      </c>
      <c r="S5" s="62">
        <f t="shared" si="1"/>
        <v>5745448.2199999988</v>
      </c>
    </row>
    <row r="6" spans="1:21" ht="26.25" customHeight="1" x14ac:dyDescent="0.5">
      <c r="A6" s="13">
        <v>2</v>
      </c>
      <c r="B6" s="11" t="str">
        <f>[62]รายการสรุป!$E$6</f>
        <v>ฝายห้วยพระเจ้าพร้อมระบบส่งน้ำ ต.แม่สุก อ.แจ้ห่ม จ.ลำปาง</v>
      </c>
      <c r="C6" s="47" t="str">
        <f>[62]รายการสรุป!$I$6</f>
        <v>0700349053420007</v>
      </c>
      <c r="D6" s="64" t="s">
        <v>60</v>
      </c>
      <c r="E6" s="62">
        <f t="shared" ref="E6" si="8">F6+G6</f>
        <v>21271750.120000001</v>
      </c>
      <c r="F6" s="62">
        <f>495400-1046.13</f>
        <v>494353.87</v>
      </c>
      <c r="G6" s="63">
        <v>20777396.25</v>
      </c>
      <c r="H6" s="62">
        <f t="shared" ref="H6" si="9">J6+K6</f>
        <v>17015073.279999997</v>
      </c>
      <c r="I6" s="62">
        <f t="shared" ref="I6" si="10">H6*100/E6</f>
        <v>79.989061473612296</v>
      </c>
      <c r="J6" s="62">
        <v>0</v>
      </c>
      <c r="K6" s="62">
        <f>52400+487895+37690.75+15000+23280+432493+98366+332887.85+231112.4+1042517.6+29971+28156+39675+15000+297260.6+380433.8+22740+182500+1024524.15+150240+559142.05+367040+745886.3+57190+23120+585654.8+470000+436550+15945.14+109500+419705+321800+574021.7+575858.9+345262.95+14820+109500+284420+4640+321800+5120+325125+234970+38735.85+26333.5+563302+404888+23390+73000+58400+50000+7086.93+509647.5+180499+321800+31359.6+27740+417639.5+160900+67785+12000+371469+36502.2+551227+46282.4+30970+466627+5290.56+50000+160900+37111.25+452972</f>
        <v>17015073.279999997</v>
      </c>
      <c r="L6" s="62">
        <f t="shared" ref="L6" si="11">N6+O6</f>
        <v>0</v>
      </c>
      <c r="M6" s="62">
        <f t="shared" ref="M6" si="12">L6*100/E6</f>
        <v>0</v>
      </c>
      <c r="N6" s="62">
        <v>0</v>
      </c>
      <c r="O6" s="62">
        <v>0</v>
      </c>
      <c r="P6" s="62">
        <f t="shared" ref="P6" si="13">R6+S6</f>
        <v>4256676.8400000026</v>
      </c>
      <c r="Q6" s="62">
        <f t="shared" ref="Q6" si="14">P6*100/E6</f>
        <v>20.010938526387701</v>
      </c>
      <c r="R6" s="62">
        <f t="shared" ref="R6" si="15">F6-J6-N6</f>
        <v>494353.87</v>
      </c>
      <c r="S6" s="62">
        <f t="shared" ref="S6" si="16">G6-K6-O6</f>
        <v>3762322.9700000025</v>
      </c>
    </row>
    <row r="7" spans="1:21" ht="26.25" customHeight="1" x14ac:dyDescent="0.5">
      <c r="A7" s="13">
        <v>3</v>
      </c>
      <c r="B7" s="11" t="str">
        <f>[63]รายการสรุป!$E$5</f>
        <v>ฝายห้วยเตียพร้อมระบบส่งน้ำ ต.แม่สุก อ.แจ้ห่ม จ.ลำปาง</v>
      </c>
      <c r="C7" s="47" t="str">
        <f>[63]รายการสรุป!$I$5</f>
        <v>07003280A5420006</v>
      </c>
      <c r="D7" s="64" t="s">
        <v>63</v>
      </c>
      <c r="E7" s="62">
        <f t="shared" ref="E7" si="17">F7+G7</f>
        <v>41820259.049999997</v>
      </c>
      <c r="F7" s="62">
        <v>0</v>
      </c>
      <c r="G7" s="63">
        <f>[63]รายการสรุป!$J$5</f>
        <v>41820259.049999997</v>
      </c>
      <c r="H7" s="62">
        <f t="shared" ref="H7" si="18">J7+K7</f>
        <v>37177569.149999999</v>
      </c>
      <c r="I7" s="62">
        <f t="shared" ref="I7" si="19">H7*100/E7</f>
        <v>88.8984669022513</v>
      </c>
      <c r="J7" s="62">
        <v>0</v>
      </c>
      <c r="K7" s="62">
        <f>492075+257685+490665+25280+6760+236610+2560+952868.9+1051419.8+3916568.5+29897+25749+32243.7+976005+1257484.35+7580+243810+344700+52000+493640+409815+3000+3458605+57585+1069876.05+28190+251010+38240+1220136.3+253710+339600+6300+28779+55780+33400+251010+2273495.55+488200+235910+38250+34914.8+1253361.7+952757.85+27936.8+9180+238957+8376+4740+484700+130740+1113000+1302000+1256000+36502.2+25936.8+1427999.25+1062533.8+5060+56580+98870+7846+69900+309332.95+936330+98221.5+339600+339600+339600+6620+202764.5+11890+579621.9+35300+1083860+35615+474150+31700+36951.15+27813.2+11300+528288.9+442114.5+7136.9+46000+148106+61267.3</f>
        <v>37177569.149999999</v>
      </c>
      <c r="L7" s="62">
        <f t="shared" ref="L7" si="20">N7+O7</f>
        <v>0</v>
      </c>
      <c r="M7" s="62">
        <f t="shared" ref="M7" si="21">L7*100/E7</f>
        <v>0</v>
      </c>
      <c r="N7" s="62">
        <v>0</v>
      </c>
      <c r="O7" s="62">
        <v>0</v>
      </c>
      <c r="P7" s="62">
        <f t="shared" ref="P7" si="22">R7+S7</f>
        <v>4642689.8999999985</v>
      </c>
      <c r="Q7" s="62">
        <f t="shared" ref="Q7" si="23">P7*100/E7</f>
        <v>11.101533097748707</v>
      </c>
      <c r="R7" s="62">
        <f t="shared" ref="R7" si="24">F7-J7-N7</f>
        <v>0</v>
      </c>
      <c r="S7" s="62">
        <f t="shared" ref="S7" si="25">G7-K7-O7</f>
        <v>4642689.8999999985</v>
      </c>
    </row>
    <row r="8" spans="1:21" ht="26.25" customHeight="1" x14ac:dyDescent="0.5">
      <c r="A8" s="13"/>
      <c r="B8" s="11"/>
      <c r="C8" s="47"/>
      <c r="D8" s="64"/>
      <c r="E8" s="62"/>
      <c r="F8" s="62"/>
      <c r="G8" s="63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21" ht="26.25" customHeight="1" x14ac:dyDescent="0.5">
      <c r="A9" s="4"/>
      <c r="B9" s="4" t="s">
        <v>93</v>
      </c>
      <c r="C9" s="4"/>
      <c r="D9" s="4"/>
      <c r="E9" s="5">
        <f>F9+G9</f>
        <v>15000000</v>
      </c>
      <c r="F9" s="5">
        <f>SUM(F10)</f>
        <v>0</v>
      </c>
      <c r="G9" s="5">
        <f>SUM(G10)</f>
        <v>15000000</v>
      </c>
      <c r="H9" s="5">
        <f t="shared" ref="H9:H10" si="26">J9+K9</f>
        <v>3761634.6</v>
      </c>
      <c r="I9" s="5">
        <f>H9*100/E9</f>
        <v>25.077563999999999</v>
      </c>
      <c r="J9" s="5">
        <f>SUM(J10)</f>
        <v>0</v>
      </c>
      <c r="K9" s="5">
        <f>SUM(K10)</f>
        <v>3761634.6</v>
      </c>
      <c r="L9" s="5">
        <f>N9+O9</f>
        <v>0</v>
      </c>
      <c r="M9" s="5">
        <f>L9*100/E9</f>
        <v>0</v>
      </c>
      <c r="N9" s="5">
        <f>SUM(N10)</f>
        <v>0</v>
      </c>
      <c r="O9" s="5">
        <f>SUM(O10)</f>
        <v>0</v>
      </c>
      <c r="P9" s="5">
        <f>E9-H9-L9</f>
        <v>11238365.4</v>
      </c>
      <c r="Q9" s="5">
        <f>P9*100/E9</f>
        <v>74.922436000000005</v>
      </c>
      <c r="R9" s="5">
        <f t="shared" ref="R9:R10" si="27">F9-J9-N9</f>
        <v>0</v>
      </c>
      <c r="S9" s="5">
        <f>G9-K9-O9</f>
        <v>11238365.4</v>
      </c>
    </row>
    <row r="10" spans="1:21" ht="26.25" customHeight="1" x14ac:dyDescent="0.5">
      <c r="A10" s="97">
        <v>1</v>
      </c>
      <c r="B10" s="96" t="str">
        <f>[64]รายการสรุป!$E$5</f>
        <v>โครงการจัดหาน้ำสนับสนุนโครงการเดินตามรอยเท้าพ่อ (เกษตรอินทรีย์)ค่ายสุรศักดิ์มนตรี อ.เมือง จ.ลำปาง</v>
      </c>
      <c r="C10" s="94" t="str">
        <f>[64]รายการสรุป!$I$5</f>
        <v>90909400152D</v>
      </c>
      <c r="D10" s="1"/>
      <c r="E10" s="62">
        <f t="shared" ref="E10" si="28">F10+G10</f>
        <v>15000000</v>
      </c>
      <c r="F10" s="62">
        <v>0</v>
      </c>
      <c r="G10" s="63">
        <f>[64]รายการสรุป!$J$5</f>
        <v>15000000</v>
      </c>
      <c r="H10" s="62">
        <f t="shared" si="26"/>
        <v>3761634.6</v>
      </c>
      <c r="I10" s="62">
        <f t="shared" ref="I10" si="29">H10*100/E10</f>
        <v>25.077563999999999</v>
      </c>
      <c r="J10" s="62">
        <v>0</v>
      </c>
      <c r="K10" s="62">
        <f>698296+5360+244710+498085+199921.8+87341.8+628003+5280+245610+587600+288550+242910+29967</f>
        <v>3761634.6</v>
      </c>
      <c r="L10" s="62">
        <f t="shared" ref="L10" si="30">N10+O10</f>
        <v>0</v>
      </c>
      <c r="M10" s="62">
        <f t="shared" ref="M10" si="31">L10*100/E10</f>
        <v>0</v>
      </c>
      <c r="N10" s="62">
        <v>0</v>
      </c>
      <c r="O10" s="62">
        <v>0</v>
      </c>
      <c r="P10" s="62">
        <f t="shared" ref="P10" si="32">R10+S10</f>
        <v>11238365.4</v>
      </c>
      <c r="Q10" s="62">
        <f t="shared" ref="Q10" si="33">P10*100/E10</f>
        <v>74.922436000000005</v>
      </c>
      <c r="R10" s="62">
        <f t="shared" si="27"/>
        <v>0</v>
      </c>
      <c r="S10" s="62">
        <f t="shared" ref="S10" si="34">G10-K10-O10</f>
        <v>11238365.4</v>
      </c>
    </row>
    <row r="11" spans="1:21" ht="26.25" customHeight="1" x14ac:dyDescent="0.5">
      <c r="A11" s="3"/>
      <c r="B11" s="93"/>
      <c r="C11" s="95"/>
      <c r="D11" s="9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3" spans="1:21" x14ac:dyDescent="0.5">
      <c r="K13" s="16">
        <f>SUM(K5:K6)</f>
        <v>34318688.909999996</v>
      </c>
      <c r="Q13" s="98" t="s">
        <v>10</v>
      </c>
      <c r="R13" s="98"/>
      <c r="S13" s="98"/>
    </row>
    <row r="14" spans="1:21" x14ac:dyDescent="0.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98" t="s">
        <v>11</v>
      </c>
      <c r="R14" s="98"/>
      <c r="S14" s="98"/>
    </row>
    <row r="15" spans="1:21" x14ac:dyDescent="0.5">
      <c r="K15" s="16"/>
      <c r="Q15" s="98" t="s">
        <v>12</v>
      </c>
      <c r="R15" s="98"/>
      <c r="S15" s="98"/>
    </row>
    <row r="16" spans="1:21" x14ac:dyDescent="0.5">
      <c r="Q16" s="98" t="s">
        <v>13</v>
      </c>
      <c r="R16" s="98"/>
      <c r="S16" s="98"/>
    </row>
    <row r="17" spans="5:19" x14ac:dyDescent="0.5">
      <c r="Q17" s="66"/>
      <c r="R17" s="66"/>
      <c r="S17" s="66"/>
    </row>
    <row r="18" spans="5:19" x14ac:dyDescent="0.5">
      <c r="E18" s="16">
        <f>E4+'2562'!E4</f>
        <v>191877328.83000001</v>
      </c>
      <c r="F18" s="16">
        <f>F4+'2562'!F4</f>
        <v>32113653.870000001</v>
      </c>
      <c r="G18" s="16">
        <f>G4+'2562'!G4</f>
        <v>159763674.96000001</v>
      </c>
      <c r="H18" s="16">
        <f>H4+'2562'!H4</f>
        <v>122749200.70999999</v>
      </c>
      <c r="I18" s="16">
        <f>I4+'2562'!I4</f>
        <v>126.7487803698956</v>
      </c>
      <c r="J18" s="16">
        <f>J4+'2562'!J4</f>
        <v>2130900</v>
      </c>
      <c r="K18" s="16">
        <f>K4+'2562'!K4</f>
        <v>120618300.70999999</v>
      </c>
      <c r="L18" s="16">
        <f>L4+'2562'!L4</f>
        <v>0</v>
      </c>
      <c r="M18" s="16">
        <f>M4+'2562'!M4</f>
        <v>0</v>
      </c>
      <c r="N18" s="16">
        <f>N4+'2562'!N4</f>
        <v>0</v>
      </c>
      <c r="O18" s="16">
        <f>O4+'2562'!O4</f>
        <v>0</v>
      </c>
      <c r="P18" s="16">
        <f>P4+'2562'!P4</f>
        <v>69128128.12000002</v>
      </c>
      <c r="Q18" s="30">
        <f t="shared" ref="Q18" si="35">P18*100/E18</f>
        <v>36.027251651624951</v>
      </c>
      <c r="R18" s="16">
        <f>R4+'2562'!R4</f>
        <v>29982753.870000001</v>
      </c>
      <c r="S18" s="16">
        <f>S4+'2562'!S4</f>
        <v>39145374.250000015</v>
      </c>
    </row>
  </sheetData>
  <mergeCells count="11">
    <mergeCell ref="Q13:S13"/>
    <mergeCell ref="Q14:S14"/>
    <mergeCell ref="Q15:S15"/>
    <mergeCell ref="Q16:S16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B8" sqref="B8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2.5" style="1" customWidth="1"/>
    <col min="11" max="11" width="12.125" style="1" customWidth="1"/>
    <col min="12" max="12" width="12.375" style="1" customWidth="1"/>
    <col min="13" max="13" width="8.25" style="1" customWidth="1"/>
    <col min="14" max="14" width="11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16384" width="9" style="1"/>
  </cols>
  <sheetData>
    <row r="1" spans="1:20" ht="33" customHeight="1" x14ac:dyDescent="0.6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x14ac:dyDescent="0.5">
      <c r="A2" s="100"/>
      <c r="B2" s="101"/>
      <c r="C2" s="27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0" ht="26.25" customHeight="1" x14ac:dyDescent="0.5">
      <c r="A3" s="102"/>
      <c r="B3" s="103"/>
      <c r="C3" s="28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22256035</v>
      </c>
      <c r="F4" s="5">
        <f>SUM(F5:F8)</f>
        <v>21534200</v>
      </c>
      <c r="G4" s="5">
        <f>SUM(G5:G8)</f>
        <v>721835</v>
      </c>
      <c r="H4" s="5">
        <f t="shared" ref="H4:H5" si="0">J4+K4</f>
        <v>51048</v>
      </c>
      <c r="I4" s="5">
        <f>H4*100/E4</f>
        <v>0.22936700090559706</v>
      </c>
      <c r="J4" s="5">
        <f>SUM(J5:J8)</f>
        <v>0</v>
      </c>
      <c r="K4" s="5">
        <f>SUM(K5:K8)</f>
        <v>51048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22204987</v>
      </c>
      <c r="Q4" s="5">
        <f>P4*100/E4</f>
        <v>99.770632999094403</v>
      </c>
      <c r="R4" s="5">
        <f>SUM(R5:R7)</f>
        <v>21534200</v>
      </c>
      <c r="S4" s="5">
        <f>G4-K4-O4</f>
        <v>670787</v>
      </c>
      <c r="T4" s="16">
        <f>I4+Q4</f>
        <v>100</v>
      </c>
    </row>
    <row r="5" spans="1:20" ht="48" customHeight="1" x14ac:dyDescent="0.5">
      <c r="A5" s="13">
        <v>1</v>
      </c>
      <c r="B5" s="11" t="str">
        <f>[65]รายการสรุป!$E$5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5" s="62" t="str">
        <f>[65]รายการสรุป!$I$5</f>
        <v>0700345054410026</v>
      </c>
      <c r="D5" s="64"/>
      <c r="E5" s="62">
        <f t="shared" ref="E5" si="1">F5+G5</f>
        <v>721835</v>
      </c>
      <c r="F5" s="62">
        <v>0</v>
      </c>
      <c r="G5" s="63">
        <v>721835</v>
      </c>
      <c r="H5" s="62">
        <f t="shared" si="0"/>
        <v>51048</v>
      </c>
      <c r="I5" s="62">
        <f t="shared" ref="I5" si="2">H5*100/E5</f>
        <v>7.0719762826684764</v>
      </c>
      <c r="J5" s="62">
        <v>0</v>
      </c>
      <c r="K5" s="62">
        <f>51048</f>
        <v>51048</v>
      </c>
      <c r="L5" s="30">
        <f t="shared" ref="L5" si="3">N5+O5</f>
        <v>0</v>
      </c>
      <c r="M5" s="30">
        <f t="shared" ref="M5" si="4">L5*100/E5</f>
        <v>0</v>
      </c>
      <c r="N5" s="30">
        <v>0</v>
      </c>
      <c r="O5" s="30">
        <v>0</v>
      </c>
      <c r="P5" s="30">
        <f t="shared" ref="P5" si="5">R5+S5</f>
        <v>670787</v>
      </c>
      <c r="Q5" s="30">
        <f t="shared" ref="Q5" si="6">P5*100/E5</f>
        <v>92.928023717331527</v>
      </c>
      <c r="R5" s="30">
        <f t="shared" ref="R5:S5" si="7">F5-J5-N5</f>
        <v>0</v>
      </c>
      <c r="S5" s="30">
        <f t="shared" si="7"/>
        <v>670787</v>
      </c>
    </row>
    <row r="6" spans="1:20" ht="47.25" customHeight="1" x14ac:dyDescent="0.5">
      <c r="A6" s="13">
        <v>2</v>
      </c>
      <c r="B6" s="11" t="str">
        <f>[66]รายการสรุป!$E$5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62" t="str">
        <f>[66]รายการสรุป!$I$5</f>
        <v>0700345054420038</v>
      </c>
      <c r="D6" s="64"/>
      <c r="E6" s="62">
        <f t="shared" ref="E6" si="8">F6+G6</f>
        <v>20827200</v>
      </c>
      <c r="F6" s="62">
        <v>20827200</v>
      </c>
      <c r="G6" s="63">
        <v>0</v>
      </c>
      <c r="H6" s="62">
        <f t="shared" ref="H6" si="9">J6+K6</f>
        <v>0</v>
      </c>
      <c r="I6" s="62">
        <f t="shared" ref="I6" si="10">H6*100/E6</f>
        <v>0</v>
      </c>
      <c r="J6" s="62">
        <v>0</v>
      </c>
      <c r="K6" s="62">
        <v>0</v>
      </c>
      <c r="L6" s="30">
        <f t="shared" ref="L6" si="11">N6+O6</f>
        <v>0</v>
      </c>
      <c r="M6" s="30">
        <f t="shared" ref="M6" si="12">L6*100/E6</f>
        <v>0</v>
      </c>
      <c r="N6" s="30">
        <v>0</v>
      </c>
      <c r="O6" s="30">
        <v>0</v>
      </c>
      <c r="P6" s="30">
        <f t="shared" ref="P6" si="13">R6+S6</f>
        <v>20827200</v>
      </c>
      <c r="Q6" s="30">
        <f t="shared" ref="Q6" si="14">P6*100/E6</f>
        <v>100</v>
      </c>
      <c r="R6" s="30">
        <f t="shared" ref="R6" si="15">F6-J6-N6</f>
        <v>20827200</v>
      </c>
      <c r="S6" s="30">
        <f t="shared" ref="S6" si="16">G6-K6-O6</f>
        <v>0</v>
      </c>
    </row>
    <row r="7" spans="1:20" ht="46.5" customHeight="1" x14ac:dyDescent="0.5">
      <c r="A7" s="13">
        <v>3</v>
      </c>
      <c r="B7" s="11" t="str">
        <f>[66]รายการสรุป!$E$6</f>
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71" t="str">
        <f>[66]รายการสรุป!$I$6</f>
        <v>0700345054420039</v>
      </c>
      <c r="D7" s="64"/>
      <c r="E7" s="62">
        <f t="shared" ref="E7" si="17">F7+G7</f>
        <v>707000</v>
      </c>
      <c r="F7" s="62">
        <v>707000</v>
      </c>
      <c r="G7" s="63">
        <v>0</v>
      </c>
      <c r="H7" s="62">
        <f t="shared" ref="H7" si="18">J7+K7</f>
        <v>0</v>
      </c>
      <c r="I7" s="62">
        <f t="shared" ref="I7" si="19">H7*100/E7</f>
        <v>0</v>
      </c>
      <c r="J7" s="62">
        <v>0</v>
      </c>
      <c r="K7" s="62">
        <v>0</v>
      </c>
      <c r="L7" s="30">
        <f t="shared" ref="L7" si="20">N7+O7</f>
        <v>0</v>
      </c>
      <c r="M7" s="30">
        <f t="shared" ref="M7" si="21">L7*100/E7</f>
        <v>0</v>
      </c>
      <c r="N7" s="30">
        <v>0</v>
      </c>
      <c r="O7" s="30">
        <v>0</v>
      </c>
      <c r="P7" s="30">
        <f t="shared" ref="P7" si="22">R7+S7</f>
        <v>707000</v>
      </c>
      <c r="Q7" s="30">
        <f t="shared" ref="Q7" si="23">P7*100/E7</f>
        <v>100</v>
      </c>
      <c r="R7" s="30">
        <f t="shared" ref="R7" si="24">F7-J7-N7</f>
        <v>707000</v>
      </c>
      <c r="S7" s="30">
        <f t="shared" ref="S7" si="25">G7-K7-O7</f>
        <v>0</v>
      </c>
    </row>
    <row r="8" spans="1:20" ht="35.25" customHeight="1" x14ac:dyDescent="0.5">
      <c r="A8" s="13"/>
      <c r="B8" s="11"/>
      <c r="C8" s="43"/>
      <c r="D8" s="29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ht="27.75" customHeight="1" x14ac:dyDescent="0.5">
      <c r="A9" s="10"/>
      <c r="B9" s="12"/>
      <c r="C9" s="12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spans="1:20" x14ac:dyDescent="0.5">
      <c r="Q11" s="98" t="s">
        <v>10</v>
      </c>
      <c r="R11" s="98"/>
      <c r="S11" s="98"/>
    </row>
    <row r="12" spans="1:20" x14ac:dyDescent="0.5">
      <c r="Q12" s="98" t="s">
        <v>11</v>
      </c>
      <c r="R12" s="98"/>
      <c r="S12" s="98"/>
    </row>
    <row r="13" spans="1:20" x14ac:dyDescent="0.5">
      <c r="Q13" s="98" t="s">
        <v>12</v>
      </c>
      <c r="R13" s="98"/>
      <c r="S13" s="98"/>
    </row>
    <row r="14" spans="1:20" x14ac:dyDescent="0.5">
      <c r="Q14" s="98" t="s">
        <v>13</v>
      </c>
      <c r="R14" s="98"/>
      <c r="S14" s="98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5"/>
  <sheetViews>
    <sheetView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14" style="1" customWidth="1"/>
    <col min="21" max="16384" width="9" style="1"/>
  </cols>
  <sheetData>
    <row r="1" spans="1:20" ht="33" customHeight="1" x14ac:dyDescent="0.6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x14ac:dyDescent="0.5">
      <c r="A2" s="100"/>
      <c r="B2" s="101"/>
      <c r="C2" s="34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0" ht="26.25" customHeight="1" x14ac:dyDescent="0.5">
      <c r="A3" s="102"/>
      <c r="B3" s="103"/>
      <c r="C3" s="35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7977614.6600000001</v>
      </c>
      <c r="F4" s="5">
        <f>SUM(F5:F6)</f>
        <v>7647735.1500000004</v>
      </c>
      <c r="G4" s="5">
        <f>SUM(G5:G8)</f>
        <v>329879.51</v>
      </c>
      <c r="H4" s="5">
        <f t="shared" ref="H4:H5" si="0">J4+K4</f>
        <v>497651.01</v>
      </c>
      <c r="I4" s="5">
        <f>H4*100/E4</f>
        <v>6.2380928536851643</v>
      </c>
      <c r="J4" s="5">
        <f>SUM(J5:J6)</f>
        <v>0</v>
      </c>
      <c r="K4" s="5">
        <f>SUM(K5:K8)</f>
        <v>497651.01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SUM(O5:O8)</f>
        <v>0</v>
      </c>
      <c r="P4" s="5">
        <f>E4-H4-L4</f>
        <v>7479963.6500000004</v>
      </c>
      <c r="Q4" s="5">
        <f>P4*100/E4</f>
        <v>93.76190714631484</v>
      </c>
      <c r="R4" s="5">
        <f t="shared" ref="R4:S5" si="1">F4-J4-N4</f>
        <v>7647735.1500000004</v>
      </c>
      <c r="S4" s="5">
        <f>G4-K4-O4</f>
        <v>-167771.5</v>
      </c>
      <c r="T4" s="16">
        <f>I4+Q4</f>
        <v>100</v>
      </c>
    </row>
    <row r="5" spans="1:20" ht="41.25" customHeight="1" x14ac:dyDescent="0.5">
      <c r="A5" s="13">
        <v>1</v>
      </c>
      <c r="B5" s="82" t="str">
        <f>[67]รายการสรุป!$E$5</f>
        <v>ค่าควบคุมงานจ้างเหมาโครงการปรับปรุงเขื่อนแม่สรวย จ.เชียงราย</v>
      </c>
      <c r="C5" s="47" t="str">
        <f>[67]รายการสรุป!$I$5</f>
        <v>0700341029410043</v>
      </c>
      <c r="D5" s="29"/>
      <c r="E5" s="47">
        <f t="shared" ref="E5" si="2">F5+G5</f>
        <v>329879.51</v>
      </c>
      <c r="F5" s="47">
        <v>0</v>
      </c>
      <c r="G5" s="48">
        <v>329879.51</v>
      </c>
      <c r="H5" s="47">
        <f t="shared" si="0"/>
        <v>67840.850000000006</v>
      </c>
      <c r="I5" s="47">
        <f t="shared" ref="I5" si="3">H5*100/E5</f>
        <v>20.565342175996324</v>
      </c>
      <c r="J5" s="47">
        <v>0</v>
      </c>
      <c r="K5" s="47">
        <f>8728.7+9803+8728.7+1280+7935+5868+8309.9+5072+9125.55+2990</f>
        <v>67840.850000000006</v>
      </c>
      <c r="L5" s="47">
        <f t="shared" ref="L5" si="4">N5+O5</f>
        <v>0</v>
      </c>
      <c r="M5" s="47">
        <f t="shared" ref="M5" si="5">L5*100/E5</f>
        <v>0</v>
      </c>
      <c r="N5" s="47">
        <v>0</v>
      </c>
      <c r="O5" s="47">
        <v>0</v>
      </c>
      <c r="P5" s="47">
        <f t="shared" ref="P5" si="6">R5+S5</f>
        <v>262038.66</v>
      </c>
      <c r="Q5" s="47">
        <f t="shared" ref="Q5" si="7">P5*100/E5</f>
        <v>79.434657824003679</v>
      </c>
      <c r="R5" s="47">
        <f t="shared" si="1"/>
        <v>0</v>
      </c>
      <c r="S5" s="47">
        <f t="shared" si="1"/>
        <v>262038.66</v>
      </c>
    </row>
    <row r="6" spans="1:20" ht="51.75" customHeight="1" x14ac:dyDescent="0.5">
      <c r="A6" s="13">
        <v>2</v>
      </c>
      <c r="B6" s="11" t="str">
        <f>[68]รายการสรุป!$E$7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47" t="str">
        <f>[68]รายการสรุป!$I$7</f>
        <v>0700341029420135</v>
      </c>
      <c r="D6" s="29"/>
      <c r="E6" s="47">
        <f t="shared" ref="E6:E7" si="8">F6+G6</f>
        <v>7647735.1500000004</v>
      </c>
      <c r="F6" s="47">
        <f>7647735.15</f>
        <v>7647735.1500000004</v>
      </c>
      <c r="G6" s="48">
        <v>0</v>
      </c>
      <c r="H6" s="47">
        <f t="shared" ref="H6:H7" si="9">J6+K6</f>
        <v>0</v>
      </c>
      <c r="I6" s="47">
        <f t="shared" ref="I6:I7" si="10">H6*100/E6</f>
        <v>0</v>
      </c>
      <c r="J6" s="47">
        <v>0</v>
      </c>
      <c r="K6" s="47">
        <v>0</v>
      </c>
      <c r="L6" s="47">
        <f t="shared" ref="L6:L7" si="11">N6+O6</f>
        <v>0</v>
      </c>
      <c r="M6" s="47">
        <f t="shared" ref="M6:M7" si="12">L6*100/E6</f>
        <v>0</v>
      </c>
      <c r="N6" s="47">
        <v>0</v>
      </c>
      <c r="O6" s="47">
        <v>0</v>
      </c>
      <c r="P6" s="47">
        <f t="shared" ref="P6:P7" si="13">R6+S6</f>
        <v>7647735.1500000004</v>
      </c>
      <c r="Q6" s="47">
        <f t="shared" ref="Q6:Q7" si="14">P6*100/E6</f>
        <v>100</v>
      </c>
      <c r="R6" s="47">
        <f t="shared" ref="R6:R7" si="15">F6-J6-N6</f>
        <v>7647735.1500000004</v>
      </c>
      <c r="S6" s="47">
        <f t="shared" ref="S6:S7" si="16">G6-K6-O6</f>
        <v>0</v>
      </c>
    </row>
    <row r="7" spans="1:20" ht="43.5" customHeight="1" x14ac:dyDescent="0.5">
      <c r="A7" s="13">
        <v>3</v>
      </c>
      <c r="B7" s="11" t="str">
        <f>[68]รายการสรุป!$E$8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15" t="str">
        <f>[68]รายการสรุป!$I$8</f>
        <v>0700341029420076</v>
      </c>
      <c r="D7" s="29"/>
      <c r="E7" s="47">
        <f t="shared" si="8"/>
        <v>840489.84</v>
      </c>
      <c r="F7" s="47">
        <v>840489.84</v>
      </c>
      <c r="G7" s="48">
        <v>0</v>
      </c>
      <c r="H7" s="47">
        <f t="shared" si="9"/>
        <v>429810.16</v>
      </c>
      <c r="I7" s="47">
        <f t="shared" si="10"/>
        <v>51.138055398742239</v>
      </c>
      <c r="J7" s="47">
        <v>0</v>
      </c>
      <c r="K7" s="47">
        <f>429810.16</f>
        <v>429810.16</v>
      </c>
      <c r="L7" s="47">
        <f t="shared" si="11"/>
        <v>0</v>
      </c>
      <c r="M7" s="47">
        <f t="shared" si="12"/>
        <v>0</v>
      </c>
      <c r="N7" s="47">
        <v>0</v>
      </c>
      <c r="O7" s="47">
        <v>0</v>
      </c>
      <c r="P7" s="47">
        <f t="shared" si="13"/>
        <v>410679.68</v>
      </c>
      <c r="Q7" s="47">
        <f t="shared" si="14"/>
        <v>48.861944601257761</v>
      </c>
      <c r="R7" s="47">
        <f t="shared" si="15"/>
        <v>840489.84</v>
      </c>
      <c r="S7" s="47">
        <f t="shared" si="16"/>
        <v>-429810.16</v>
      </c>
    </row>
    <row r="8" spans="1:20" ht="33" customHeight="1" x14ac:dyDescent="0.5">
      <c r="A8" s="13"/>
      <c r="B8" s="11"/>
      <c r="C8" s="30"/>
      <c r="D8" s="6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4"/>
    </row>
    <row r="9" spans="1:20" ht="30" customHeight="1" x14ac:dyDescent="0.5">
      <c r="A9" s="13"/>
      <c r="B9" s="11"/>
      <c r="C9" s="15"/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27.75" customHeight="1" x14ac:dyDescent="0.5">
      <c r="A10" s="10"/>
      <c r="B10" s="12"/>
      <c r="C10" s="12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2" spans="1:20" x14ac:dyDescent="0.5">
      <c r="Q12" s="98" t="s">
        <v>10</v>
      </c>
      <c r="R12" s="98"/>
      <c r="S12" s="98"/>
    </row>
    <row r="13" spans="1:20" x14ac:dyDescent="0.5">
      <c r="Q13" s="98" t="s">
        <v>11</v>
      </c>
      <c r="R13" s="98"/>
      <c r="S13" s="98"/>
    </row>
    <row r="14" spans="1:20" x14ac:dyDescent="0.5">
      <c r="Q14" s="98" t="s">
        <v>12</v>
      </c>
      <c r="R14" s="98"/>
      <c r="S14" s="98"/>
    </row>
    <row r="15" spans="1:20" x14ac:dyDescent="0.5">
      <c r="Q15" s="98" t="s">
        <v>13</v>
      </c>
      <c r="R15" s="98"/>
      <c r="S15" s="98"/>
    </row>
  </sheetData>
  <mergeCells count="11">
    <mergeCell ref="Q12:S12"/>
    <mergeCell ref="Q13:S13"/>
    <mergeCell ref="Q14:S14"/>
    <mergeCell ref="Q15:S1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"/>
  <sheetViews>
    <sheetView zoomScale="115" zoomScaleNormal="115" workbookViewId="0">
      <pane ySplit="3" topLeftCell="A4" activePane="bottomLeft" state="frozen"/>
      <selection activeCell="O29" sqref="O29"/>
      <selection pane="bottomLeft" activeCell="K8" sqref="K8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x14ac:dyDescent="0.5">
      <c r="A2" s="100" t="s">
        <v>0</v>
      </c>
      <c r="B2" s="101"/>
      <c r="C2" s="37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1" ht="26.25" customHeight="1" x14ac:dyDescent="0.5">
      <c r="A3" s="102"/>
      <c r="B3" s="103"/>
      <c r="C3" s="38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47009085.769999996</v>
      </c>
      <c r="F4" s="5">
        <f>SUM(F6:F7)</f>
        <v>0</v>
      </c>
      <c r="G4" s="5">
        <f>G6+G7</f>
        <v>47009085.769999996</v>
      </c>
      <c r="H4" s="5">
        <f t="shared" ref="H4" si="0">J4+K4</f>
        <v>28993026.520000003</v>
      </c>
      <c r="I4" s="5">
        <f>H4*100/E4</f>
        <v>61.675367740298874</v>
      </c>
      <c r="J4" s="5">
        <f>SUM(J6:J7)</f>
        <v>0</v>
      </c>
      <c r="K4" s="5">
        <f>K6+K7</f>
        <v>28993026.520000003</v>
      </c>
      <c r="L4" s="5">
        <f>N4+O4</f>
        <v>0</v>
      </c>
      <c r="M4" s="5">
        <f>L4*100/E4</f>
        <v>0</v>
      </c>
      <c r="N4" s="5">
        <f>SUM(N6:N7)</f>
        <v>0</v>
      </c>
      <c r="O4" s="5">
        <f>SUM(O6:O7)</f>
        <v>0</v>
      </c>
      <c r="P4" s="5">
        <f>E4-H4-L4</f>
        <v>18016059.249999993</v>
      </c>
      <c r="Q4" s="5">
        <f>P4*100/E4</f>
        <v>38.324632259701133</v>
      </c>
      <c r="R4" s="5">
        <f t="shared" ref="R4" si="1">F4-J4-N4</f>
        <v>0</v>
      </c>
      <c r="S4" s="5">
        <f>G4-K4-O4</f>
        <v>18016059.249999993</v>
      </c>
      <c r="T4" s="16">
        <f>I4+Q4</f>
        <v>100</v>
      </c>
      <c r="U4" s="16">
        <f>P4+H4</f>
        <v>47009085.769999996</v>
      </c>
    </row>
    <row r="5" spans="1:21" ht="30" customHeight="1" x14ac:dyDescent="0.5">
      <c r="A5" s="13"/>
      <c r="B5" s="32" t="s">
        <v>19</v>
      </c>
      <c r="C5" s="15"/>
      <c r="D5" s="1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30" customHeight="1" x14ac:dyDescent="0.5">
      <c r="A6" s="13">
        <v>1</v>
      </c>
      <c r="B6" s="11" t="str">
        <f>[69]รายการสรุป!$E$5</f>
        <v>โครงการฝายแม่อางบ้านน้ำล้อมอันเนื่องมาจากพระราชดำริ อ.เมือง จ.ลำปาง</v>
      </c>
      <c r="C6" s="15" t="str">
        <f>[69]รายการสรุป!$I$5</f>
        <v>9090938015E8</v>
      </c>
      <c r="D6" s="15" t="s">
        <v>18</v>
      </c>
      <c r="E6" s="47">
        <f>F6+G6</f>
        <v>3183750.87</v>
      </c>
      <c r="F6" s="30">
        <v>0</v>
      </c>
      <c r="G6" s="48">
        <f>2053950.87+1129800</f>
        <v>3183750.87</v>
      </c>
      <c r="H6" s="47">
        <f t="shared" ref="H6" si="2">J6+K6</f>
        <v>2503396.85</v>
      </c>
      <c r="I6" s="47">
        <f t="shared" ref="I6" si="3">H6*100/E6</f>
        <v>78.630425313397708</v>
      </c>
      <c r="J6" s="30">
        <v>0</v>
      </c>
      <c r="K6" s="52">
        <f>214500+383110+319300+87287+18000+9280+453000+10420+73004.4+143000+68510+63480+11780+54496.4+128466+2528+365572+3456+63878.85+20648.2+9680</f>
        <v>2503396.85</v>
      </c>
      <c r="L6" s="52">
        <f t="shared" ref="L6" si="4">N6+O6</f>
        <v>0</v>
      </c>
      <c r="M6" s="52">
        <f t="shared" ref="M6" si="5">L6*100/E6</f>
        <v>0</v>
      </c>
      <c r="N6" s="52">
        <v>0</v>
      </c>
      <c r="O6" s="52">
        <v>0</v>
      </c>
      <c r="P6" s="52">
        <f t="shared" ref="P6" si="6">R6+S6</f>
        <v>680354.02</v>
      </c>
      <c r="Q6" s="52">
        <f t="shared" ref="Q6" si="7">P6*100/E6</f>
        <v>21.369574686602284</v>
      </c>
      <c r="R6" s="52">
        <f t="shared" ref="R6:S6" si="8">F6-J6-N6</f>
        <v>0</v>
      </c>
      <c r="S6" s="52">
        <f t="shared" si="8"/>
        <v>680354.02</v>
      </c>
    </row>
    <row r="7" spans="1:21" ht="49.5" customHeight="1" x14ac:dyDescent="0.5">
      <c r="A7" s="13">
        <v>2</v>
      </c>
      <c r="B7" s="11" t="str">
        <f>[70]รายการสรุป!$E$5</f>
        <v>โครงการอ่างเก็บน้ำห้วยเฮี้ยพร้อมระบบส่งน้ำอันเนื่องมาจากพระราชดำริ อ.เมือง จ.ลำปาง</v>
      </c>
      <c r="C7" s="62" t="str">
        <f>[70]รายการสรุป!$I$5</f>
        <v>9090938015</v>
      </c>
      <c r="D7" s="62" t="s">
        <v>71</v>
      </c>
      <c r="E7" s="62">
        <f t="shared" ref="E7" si="9">F7+G7</f>
        <v>43825334.899999999</v>
      </c>
      <c r="F7" s="30">
        <v>0</v>
      </c>
      <c r="G7" s="62">
        <f>40470117.78+3355217.12</f>
        <v>43825334.899999999</v>
      </c>
      <c r="H7" s="72">
        <f t="shared" ref="H7" si="10">J7+K7</f>
        <v>26489629.670000002</v>
      </c>
      <c r="I7" s="72">
        <f t="shared" ref="I7" si="11">H7*100/E7</f>
        <v>60.443644596084994</v>
      </c>
      <c r="J7" s="72">
        <v>0</v>
      </c>
      <c r="K7" s="72">
        <f>264955+267805+288545+599605.1+264955+264955+264955+1236286.3+948498.15+14220+269705+264955+14220+599430.8+496852+498700+276355+71128+498000+152709.75+87784+5158.05+695079.05+521517.5+428900.85+320166.35+272555+29967+16720+451584+269705+273505+71687.1+268755+86340+5766+52345+265905+257355+680040+567232.75+476748+673837.22+253555+250705+19860+409124.05+15160+467105.6-1716.8+73240+56839.96+89973+10860+1280+254505+482335+258305+124865+88140+150800+258305+1111637.05+902369.05+16500+258305+868600+4792633.79+19860+176280+125290+259255+5766+256405+98000</f>
        <v>26489629.670000002</v>
      </c>
      <c r="L7" s="72">
        <f t="shared" ref="L7" si="12">N7+O7</f>
        <v>0</v>
      </c>
      <c r="M7" s="72">
        <f t="shared" ref="M7" si="13">L7*100/E7</f>
        <v>0</v>
      </c>
      <c r="N7" s="72">
        <v>0</v>
      </c>
      <c r="O7" s="72">
        <v>0</v>
      </c>
      <c r="P7" s="72">
        <f t="shared" ref="P7" si="14">R7+S7</f>
        <v>17335705.229999997</v>
      </c>
      <c r="Q7" s="72">
        <f t="shared" ref="Q7" si="15">P7*100/E7</f>
        <v>39.556355403915006</v>
      </c>
      <c r="R7" s="72">
        <f t="shared" ref="R7" si="16">F7-J7-N7</f>
        <v>0</v>
      </c>
      <c r="S7" s="62">
        <f t="shared" ref="S7" si="17">G7-K7-O7</f>
        <v>17335705.229999997</v>
      </c>
    </row>
    <row r="8" spans="1:21" ht="27.75" customHeight="1" x14ac:dyDescent="0.5">
      <c r="A8" s="10"/>
      <c r="B8" s="12"/>
      <c r="C8" s="12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10" spans="1:21" x14ac:dyDescent="0.5">
      <c r="Q10" s="98" t="s">
        <v>10</v>
      </c>
      <c r="R10" s="98"/>
      <c r="S10" s="98"/>
    </row>
    <row r="11" spans="1:21" x14ac:dyDescent="0.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8" t="s">
        <v>11</v>
      </c>
      <c r="R11" s="98"/>
      <c r="S11" s="98"/>
    </row>
    <row r="12" spans="1:21" x14ac:dyDescent="0.5">
      <c r="Q12" s="98" t="s">
        <v>12</v>
      </c>
      <c r="R12" s="98"/>
      <c r="S12" s="98"/>
    </row>
    <row r="13" spans="1:21" x14ac:dyDescent="0.5">
      <c r="Q13" s="98" t="s">
        <v>13</v>
      </c>
      <c r="R13" s="98"/>
      <c r="S13" s="98"/>
    </row>
    <row r="14" spans="1:21" x14ac:dyDescent="0.5">
      <c r="Q14" s="36"/>
      <c r="R14" s="36"/>
      <c r="S14" s="36"/>
    </row>
    <row r="15" spans="1:21" x14ac:dyDescent="0.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0"/>
      <c r="R15" s="16"/>
      <c r="S15" s="16"/>
    </row>
  </sheetData>
  <mergeCells count="11">
    <mergeCell ref="Q10:S10"/>
    <mergeCell ref="Q11:S11"/>
    <mergeCell ref="Q12:S12"/>
    <mergeCell ref="Q13:S13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"/>
  <sheetViews>
    <sheetView zoomScale="115" zoomScaleNormal="115" workbookViewId="0">
      <pane ySplit="3" topLeftCell="A4" activePane="bottomLeft" state="frozen"/>
      <selection activeCell="O29" sqref="O29"/>
      <selection pane="bottomLeft" activeCell="D10" sqref="D10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10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x14ac:dyDescent="0.5">
      <c r="A2" s="100" t="s">
        <v>0</v>
      </c>
      <c r="B2" s="101"/>
      <c r="C2" s="41" t="s">
        <v>15</v>
      </c>
      <c r="D2" s="109" t="s">
        <v>1</v>
      </c>
      <c r="E2" s="106" t="s">
        <v>2</v>
      </c>
      <c r="F2" s="107"/>
      <c r="G2" s="108"/>
      <c r="H2" s="106" t="s">
        <v>7</v>
      </c>
      <c r="I2" s="107"/>
      <c r="J2" s="107"/>
      <c r="K2" s="108"/>
      <c r="L2" s="106" t="s">
        <v>8</v>
      </c>
      <c r="M2" s="107"/>
      <c r="N2" s="107"/>
      <c r="O2" s="108"/>
      <c r="P2" s="106" t="s">
        <v>9</v>
      </c>
      <c r="Q2" s="107"/>
      <c r="R2" s="107"/>
      <c r="S2" s="108"/>
    </row>
    <row r="3" spans="1:21" ht="26.25" customHeight="1" x14ac:dyDescent="0.5">
      <c r="A3" s="102"/>
      <c r="B3" s="103"/>
      <c r="C3" s="42" t="s">
        <v>16</v>
      </c>
      <c r="D3" s="11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387664.61</v>
      </c>
      <c r="F4" s="5">
        <f>SUM(F5:F6)</f>
        <v>0</v>
      </c>
      <c r="G4" s="5">
        <f>SUM(G5:G6)</f>
        <v>387664.61</v>
      </c>
      <c r="H4" s="5">
        <f t="shared" ref="H4:H6" si="0">J4+K4</f>
        <v>385287.4</v>
      </c>
      <c r="I4" s="5">
        <f>H4*100/E4</f>
        <v>99.386786944518875</v>
      </c>
      <c r="J4" s="5">
        <f>SUM(J5:J6)</f>
        <v>0</v>
      </c>
      <c r="K4" s="5">
        <f>SUM(K5:K6)</f>
        <v>385287.4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2377.2099999999627</v>
      </c>
      <c r="Q4" s="5">
        <f>P4*100/E4</f>
        <v>0.61321305548111882</v>
      </c>
      <c r="R4" s="5">
        <f t="shared" ref="R4:S6" si="1">F4-J4-N4</f>
        <v>0</v>
      </c>
      <c r="S4" s="5">
        <f>G4-K4-O4</f>
        <v>2377.2099999999627</v>
      </c>
      <c r="T4" s="16">
        <f>I4+Q4</f>
        <v>100</v>
      </c>
      <c r="U4" s="16">
        <f>P4+H4</f>
        <v>387664.61</v>
      </c>
    </row>
    <row r="5" spans="1:21" ht="32.25" customHeight="1" x14ac:dyDescent="0.5">
      <c r="A5" s="13">
        <v>1</v>
      </c>
      <c r="B5" s="50" t="str">
        <f>[71]รายการสรุป!$E$7</f>
        <v>กำจัดสิ่งกีดขวางทางแม่น้ำวังด้านท้ายเขื่อนกิ่วคอหมา จ.ลำปาง</v>
      </c>
      <c r="C5" s="70" t="str">
        <f>[72]รายการสรุป!$I$6</f>
        <v>07003630X1410C04</v>
      </c>
      <c r="D5" s="29" t="s">
        <v>20</v>
      </c>
      <c r="E5" s="47">
        <f t="shared" ref="E5:E6" si="2">F5+G5</f>
        <v>122772.23</v>
      </c>
      <c r="F5" s="47">
        <v>0</v>
      </c>
      <c r="G5" s="48">
        <v>122772.23</v>
      </c>
      <c r="H5" s="47">
        <f t="shared" si="0"/>
        <v>122569.2</v>
      </c>
      <c r="I5" s="47">
        <f t="shared" ref="I5:I6" si="3">H5*100/E5</f>
        <v>99.83462872670799</v>
      </c>
      <c r="J5" s="47">
        <v>0</v>
      </c>
      <c r="K5" s="47">
        <f>9441.4+8513.1+18420+9870.1+11356.6+24600+5035.5+8153.3+10339.2+16840</f>
        <v>122569.2</v>
      </c>
      <c r="L5" s="47">
        <f t="shared" ref="L5:L6" si="4">N5+O5</f>
        <v>0</v>
      </c>
      <c r="M5" s="47">
        <f t="shared" ref="M5:M6" si="5">L5*100/E5</f>
        <v>0</v>
      </c>
      <c r="N5" s="47">
        <v>0</v>
      </c>
      <c r="O5" s="47">
        <v>0</v>
      </c>
      <c r="P5" s="47">
        <f t="shared" ref="P5:P6" si="6">R5+S5</f>
        <v>203.02999999999884</v>
      </c>
      <c r="Q5" s="47">
        <f t="shared" ref="Q5:Q6" si="7">P5*100/E5</f>
        <v>0.16537127329201307</v>
      </c>
      <c r="R5" s="47">
        <f t="shared" si="1"/>
        <v>0</v>
      </c>
      <c r="S5" s="30">
        <f t="shared" si="1"/>
        <v>203.02999999999884</v>
      </c>
    </row>
    <row r="6" spans="1:21" ht="32.25" customHeight="1" x14ac:dyDescent="0.5">
      <c r="A6" s="13">
        <v>2</v>
      </c>
      <c r="B6" s="81" t="str">
        <f>[71]รายการสรุป!$E$8</f>
        <v>เพิ่มประสิทธิภาพการกักเก็บน้ำเขื่อนกิ่วลม จ.ลำปาง</v>
      </c>
      <c r="C6" s="50" t="str">
        <f>[72]รายการสรุป!$I$7</f>
        <v>07003630X1410C05</v>
      </c>
      <c r="D6" s="29" t="s">
        <v>20</v>
      </c>
      <c r="E6" s="47">
        <f t="shared" si="2"/>
        <v>264892.38</v>
      </c>
      <c r="F6" s="47">
        <v>0</v>
      </c>
      <c r="G6" s="48">
        <v>264892.38</v>
      </c>
      <c r="H6" s="47">
        <f t="shared" si="0"/>
        <v>262718.2</v>
      </c>
      <c r="I6" s="47">
        <f t="shared" si="3"/>
        <v>99.179221387946299</v>
      </c>
      <c r="J6" s="47">
        <v>0</v>
      </c>
      <c r="K6" s="47">
        <f>3821+17457.4+16224.1+18420+18251.1+21602.6+22520+4422+46459.2+60060.8+33480</f>
        <v>262718.2</v>
      </c>
      <c r="L6" s="47">
        <f t="shared" si="4"/>
        <v>0</v>
      </c>
      <c r="M6" s="47">
        <f t="shared" si="5"/>
        <v>0</v>
      </c>
      <c r="N6" s="47">
        <v>0</v>
      </c>
      <c r="O6" s="47">
        <v>0</v>
      </c>
      <c r="P6" s="47">
        <f t="shared" si="6"/>
        <v>2174.179999999993</v>
      </c>
      <c r="Q6" s="47">
        <f t="shared" si="7"/>
        <v>0.82077861205369251</v>
      </c>
      <c r="R6" s="47">
        <f t="shared" si="1"/>
        <v>0</v>
      </c>
      <c r="S6" s="30">
        <f t="shared" si="1"/>
        <v>2174.179999999993</v>
      </c>
    </row>
    <row r="7" spans="1:21" ht="27.75" customHeight="1" x14ac:dyDescent="0.5">
      <c r="A7" s="10"/>
      <c r="B7" s="12"/>
      <c r="C7" s="1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9" spans="1:21" x14ac:dyDescent="0.5">
      <c r="Q9" s="98" t="s">
        <v>10</v>
      </c>
      <c r="R9" s="98"/>
      <c r="S9" s="98"/>
    </row>
    <row r="10" spans="1:21" x14ac:dyDescent="0.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98" t="s">
        <v>11</v>
      </c>
      <c r="R10" s="98"/>
      <c r="S10" s="98"/>
    </row>
    <row r="11" spans="1:21" x14ac:dyDescent="0.5">
      <c r="Q11" s="98" t="s">
        <v>12</v>
      </c>
      <c r="R11" s="98"/>
      <c r="S11" s="98"/>
    </row>
    <row r="12" spans="1:21" x14ac:dyDescent="0.5">
      <c r="Q12" s="98" t="s">
        <v>13</v>
      </c>
      <c r="R12" s="98"/>
      <c r="S12" s="98"/>
    </row>
    <row r="13" spans="1:21" x14ac:dyDescent="0.5">
      <c r="Q13" s="40"/>
      <c r="R13" s="40"/>
      <c r="S13" s="40"/>
    </row>
    <row r="14" spans="1:21" x14ac:dyDescent="0.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/>
      <c r="R14" s="16"/>
      <c r="S14" s="16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2562</vt:lpstr>
      <vt:lpstr>งบกลาง สชป.2</vt:lpstr>
      <vt:lpstr>00743 เรือขุด ปี 62</vt:lpstr>
      <vt:lpstr>00712 ก่อสร้างปี 62งบกลาง </vt:lpstr>
      <vt:lpstr>ขยาย 61</vt:lpstr>
      <vt:lpstr>เงินขยาย 60  .</vt:lpstr>
      <vt:lpstr>00712 ก่อสร้าง ขยาย 61</vt:lpstr>
      <vt:lpstr>00743 เรือขุด ขยาย 61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2019-08-23T09:43:18Z</dcterms:modified>
</cp:coreProperties>
</file>