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5220" windowWidth="15480" windowHeight="6540" activeTab="3"/>
  </bookViews>
  <sheets>
    <sheet name="2562" sheetId="1" r:id="rId1"/>
    <sheet name="งบกลาง สชป.2" sheetId="23" r:id="rId2"/>
    <sheet name="00743 เรือขุด ปี 62" sheetId="21" r:id="rId3"/>
    <sheet name="00712 ก่อสร้างปี 62 " sheetId="22" r:id="rId4"/>
    <sheet name="ขยาย 61" sheetId="14" r:id="rId5"/>
    <sheet name="เงินขยาย 60  ." sheetId="16" r:id="rId6"/>
    <sheet name="00712 ก่อสร้าง ขยาย 61" sheetId="19" r:id="rId7"/>
    <sheet name="00743 เรือขุด ขยาย 61" sheetId="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calcPr calcId="145621"/>
</workbook>
</file>

<file path=xl/calcChain.xml><?xml version="1.0" encoding="utf-8"?>
<calcChain xmlns="http://schemas.openxmlformats.org/spreadsheetml/2006/main">
  <c r="K6" i="22" l="1"/>
  <c r="K5" i="22"/>
  <c r="G6" i="22" l="1"/>
  <c r="K7" i="19" l="1"/>
  <c r="K7" i="22"/>
  <c r="K6" i="20" l="1"/>
  <c r="J127" i="1" l="1"/>
  <c r="K127" i="1"/>
  <c r="F127" i="1"/>
  <c r="G127" i="1"/>
  <c r="K148" i="1"/>
  <c r="G148" i="1"/>
  <c r="G155" i="1"/>
  <c r="E155" i="1"/>
  <c r="M155" i="1" s="1"/>
  <c r="H155" i="1"/>
  <c r="L155" i="1"/>
  <c r="R155" i="1"/>
  <c r="S155" i="1"/>
  <c r="P155" i="1" s="1"/>
  <c r="C155" i="1"/>
  <c r="B155" i="1"/>
  <c r="B154" i="1"/>
  <c r="G154" i="1"/>
  <c r="S154" i="1" s="1"/>
  <c r="C154" i="1"/>
  <c r="H154" i="1"/>
  <c r="L154" i="1"/>
  <c r="R154" i="1"/>
  <c r="K153" i="1"/>
  <c r="I155" i="1" l="1"/>
  <c r="Q155" i="1"/>
  <c r="P154" i="1"/>
  <c r="M154" i="1"/>
  <c r="E154" i="1"/>
  <c r="I154" i="1" s="1"/>
  <c r="K6" i="19"/>
  <c r="G5" i="22"/>
  <c r="C6" i="22"/>
  <c r="C5" i="22"/>
  <c r="B6" i="22"/>
  <c r="B5" i="22"/>
  <c r="Q154" i="1" l="1"/>
  <c r="K20" i="21"/>
  <c r="K19" i="21"/>
  <c r="K14" i="21"/>
  <c r="K7" i="21"/>
  <c r="K11" i="21"/>
  <c r="K10" i="21"/>
  <c r="K168" i="1" l="1"/>
  <c r="K141" i="1" l="1"/>
  <c r="K94" i="1"/>
  <c r="K70" i="1"/>
  <c r="K86" i="1"/>
  <c r="K16" i="1"/>
  <c r="K35" i="1"/>
  <c r="K36" i="1"/>
  <c r="K40" i="1"/>
  <c r="K19" i="1"/>
  <c r="K174" i="1"/>
  <c r="B130" i="1" l="1"/>
  <c r="C130" i="1"/>
  <c r="G130" i="1"/>
  <c r="E130" i="1" s="1"/>
  <c r="H130" i="1"/>
  <c r="L130" i="1"/>
  <c r="R130" i="1"/>
  <c r="S130" i="1" l="1"/>
  <c r="P130" i="1" s="1"/>
  <c r="Q130" i="1" s="1"/>
  <c r="I130" i="1"/>
  <c r="M130" i="1"/>
  <c r="K80" i="1"/>
  <c r="K44" i="1"/>
  <c r="K50" i="1"/>
  <c r="K9" i="1"/>
  <c r="K13" i="1"/>
  <c r="K177" i="1" l="1"/>
  <c r="K132" i="1" l="1"/>
  <c r="K16" i="21" l="1"/>
  <c r="K152" i="1" l="1"/>
  <c r="K151" i="1"/>
  <c r="K142" i="1"/>
  <c r="K157" i="1"/>
  <c r="K137" i="1"/>
  <c r="K136" i="1"/>
  <c r="K133" i="1"/>
  <c r="K123" i="1"/>
  <c r="K121" i="1"/>
  <c r="K122" i="1"/>
  <c r="K126" i="1"/>
  <c r="K113" i="1"/>
  <c r="K109" i="1"/>
  <c r="K118" i="1"/>
  <c r="K91" i="1"/>
  <c r="K7" i="1"/>
  <c r="O4" i="23" l="1"/>
  <c r="K4" i="23"/>
  <c r="G4" i="23"/>
  <c r="G6" i="23"/>
  <c r="E6" i="23" s="1"/>
  <c r="C6" i="23"/>
  <c r="R6" i="23"/>
  <c r="L6" i="23"/>
  <c r="H6" i="23"/>
  <c r="S6" i="23"/>
  <c r="N4" i="23"/>
  <c r="L4" i="23" s="1"/>
  <c r="H4" i="23"/>
  <c r="J4" i="23"/>
  <c r="F4" i="23"/>
  <c r="I6" i="23" l="1"/>
  <c r="P6" i="23"/>
  <c r="Q6" i="23" s="1"/>
  <c r="E4" i="23"/>
  <c r="I4" i="23" s="1"/>
  <c r="M6" i="23"/>
  <c r="S4" i="23"/>
  <c r="R4" i="23"/>
  <c r="G6" i="19"/>
  <c r="M4" i="23" l="1"/>
  <c r="P4" i="23"/>
  <c r="U4" i="23" s="1"/>
  <c r="K9" i="21"/>
  <c r="K6" i="21"/>
  <c r="K12" i="21"/>
  <c r="K13" i="21"/>
  <c r="Q4" i="23" l="1"/>
  <c r="T4" i="23" s="1"/>
  <c r="N4" i="20" l="1"/>
  <c r="J4" i="20"/>
  <c r="F4" i="20"/>
  <c r="G7" i="19"/>
  <c r="O4" i="19"/>
  <c r="J4" i="19"/>
  <c r="N4" i="19"/>
  <c r="F4" i="19"/>
  <c r="K4" i="19"/>
  <c r="G4" i="19" l="1"/>
  <c r="E4" i="19" s="1"/>
  <c r="K170" i="1"/>
  <c r="K128" i="1"/>
  <c r="K124" i="1"/>
  <c r="K4" i="21" l="1"/>
  <c r="B20" i="21"/>
  <c r="B19" i="21"/>
  <c r="G20" i="21"/>
  <c r="S20" i="21" s="1"/>
  <c r="P20" i="21" s="1"/>
  <c r="C20" i="21"/>
  <c r="G19" i="21"/>
  <c r="E19" i="21" s="1"/>
  <c r="M19" i="21" s="1"/>
  <c r="C19" i="21"/>
  <c r="H20" i="21"/>
  <c r="L20" i="21"/>
  <c r="R20" i="21"/>
  <c r="H19" i="21"/>
  <c r="L19" i="21"/>
  <c r="R19" i="21"/>
  <c r="E20" i="21" l="1"/>
  <c r="M20" i="21" s="1"/>
  <c r="I19" i="21"/>
  <c r="S19" i="21"/>
  <c r="P19" i="21" s="1"/>
  <c r="Q19" i="21" s="1"/>
  <c r="I20" i="21" l="1"/>
  <c r="Q20" i="21"/>
  <c r="K116" i="1"/>
  <c r="K7" i="16" l="1"/>
  <c r="K140" i="1" l="1"/>
  <c r="K92" i="1"/>
  <c r="K105" i="1"/>
  <c r="K119" i="1"/>
  <c r="K99" i="1"/>
  <c r="K8" i="21" l="1"/>
  <c r="G157" i="1" l="1"/>
  <c r="K5" i="16" l="1"/>
  <c r="K147" i="1" l="1"/>
  <c r="K146" i="1"/>
  <c r="K18" i="21" l="1"/>
  <c r="K65" i="1"/>
  <c r="K79" i="1"/>
  <c r="K29" i="1"/>
  <c r="K17" i="21" l="1"/>
  <c r="K54" i="1" l="1"/>
  <c r="K69" i="1"/>
  <c r="K63" i="1"/>
  <c r="K52" i="1"/>
  <c r="K59" i="1"/>
  <c r="K8" i="1"/>
  <c r="K21" i="1"/>
  <c r="K15" i="1" l="1"/>
  <c r="K135" i="1" l="1"/>
  <c r="K28" i="1"/>
  <c r="K139" i="1" l="1"/>
  <c r="F6" i="22" l="1"/>
  <c r="K143" i="1" l="1"/>
  <c r="K144" i="1"/>
  <c r="K145" i="1"/>
  <c r="K18" i="1" l="1"/>
  <c r="K53" i="1" l="1"/>
  <c r="O43" i="1" l="1"/>
  <c r="G56" i="1"/>
  <c r="E56" i="1" s="1"/>
  <c r="H56" i="1"/>
  <c r="L56" i="1"/>
  <c r="R56" i="1"/>
  <c r="C56" i="1"/>
  <c r="B56" i="1"/>
  <c r="M56" i="1" l="1"/>
  <c r="I56" i="1"/>
  <c r="S56" i="1"/>
  <c r="P56" i="1" s="1"/>
  <c r="Q56" i="1" s="1"/>
  <c r="N180" i="1" l="1"/>
  <c r="O180" i="1"/>
  <c r="J180" i="1"/>
  <c r="K180" i="1"/>
  <c r="F180" i="1"/>
  <c r="C181" i="1"/>
  <c r="B181" i="1"/>
  <c r="G181" i="1"/>
  <c r="G180" i="1" s="1"/>
  <c r="E180" i="1" s="1"/>
  <c r="R181" i="1"/>
  <c r="L181" i="1"/>
  <c r="H181" i="1"/>
  <c r="H180" i="1"/>
  <c r="E181" i="1" l="1"/>
  <c r="M181" i="1" s="1"/>
  <c r="S181" i="1"/>
  <c r="P181" i="1"/>
  <c r="I181" i="1"/>
  <c r="I180" i="1"/>
  <c r="R180" i="1"/>
  <c r="L180" i="1"/>
  <c r="S180" i="1"/>
  <c r="C6" i="20"/>
  <c r="C5" i="20"/>
  <c r="Q181" i="1" l="1"/>
  <c r="P180" i="1"/>
  <c r="Q180" i="1" s="1"/>
  <c r="L36" i="1" l="1"/>
  <c r="G18" i="21" l="1"/>
  <c r="E18" i="21" s="1"/>
  <c r="G17" i="21"/>
  <c r="E17" i="21" s="1"/>
  <c r="C18" i="21"/>
  <c r="B18" i="21"/>
  <c r="H17" i="21"/>
  <c r="L17" i="21"/>
  <c r="R17" i="21"/>
  <c r="H18" i="21"/>
  <c r="L18" i="21"/>
  <c r="R18" i="21"/>
  <c r="C17" i="21"/>
  <c r="B17" i="21"/>
  <c r="M18" i="21" l="1"/>
  <c r="S18" i="21"/>
  <c r="P18" i="21" s="1"/>
  <c r="Q18" i="21" s="1"/>
  <c r="S17" i="21"/>
  <c r="P17" i="21" s="1"/>
  <c r="Q17" i="21" s="1"/>
  <c r="I18" i="21"/>
  <c r="M17" i="21"/>
  <c r="I17" i="21"/>
  <c r="K77" i="1"/>
  <c r="K31" i="1" l="1"/>
  <c r="C129" i="1" l="1"/>
  <c r="O127" i="1"/>
  <c r="G129" i="1"/>
  <c r="S129" i="1" s="1"/>
  <c r="B129" i="1"/>
  <c r="H129" i="1"/>
  <c r="L129" i="1"/>
  <c r="R129" i="1"/>
  <c r="P129" i="1" l="1"/>
  <c r="E129" i="1"/>
  <c r="M129" i="1" s="1"/>
  <c r="Q129" i="1" l="1"/>
  <c r="I129" i="1"/>
  <c r="K15" i="21" l="1"/>
  <c r="K5" i="21" l="1"/>
  <c r="K150" i="1" l="1"/>
  <c r="C128" i="1"/>
  <c r="K74" i="1"/>
  <c r="G178" i="1" l="1"/>
  <c r="S178" i="1" s="1"/>
  <c r="C178" i="1"/>
  <c r="B178" i="1"/>
  <c r="H178" i="1"/>
  <c r="L178" i="1"/>
  <c r="R178" i="1"/>
  <c r="E178" i="1" l="1"/>
  <c r="M178" i="1" s="1"/>
  <c r="P178" i="1"/>
  <c r="Q178" i="1" l="1"/>
  <c r="I178" i="1"/>
  <c r="O148" i="1" l="1"/>
  <c r="F148" i="1"/>
  <c r="G153" i="1"/>
  <c r="S153" i="1" s="1"/>
  <c r="P153" i="1" s="1"/>
  <c r="C153" i="1"/>
  <c r="B153" i="1"/>
  <c r="H153" i="1"/>
  <c r="L153" i="1"/>
  <c r="R153" i="1"/>
  <c r="E153" i="1" l="1"/>
  <c r="M153" i="1" s="1"/>
  <c r="Q153" i="1" l="1"/>
  <c r="I153" i="1"/>
  <c r="K83" i="1" l="1"/>
  <c r="K12" i="1"/>
  <c r="K32" i="1"/>
  <c r="K23" i="1"/>
  <c r="F170" i="1" l="1"/>
  <c r="G170" i="1"/>
  <c r="K111" i="1" l="1"/>
  <c r="C112" i="1"/>
  <c r="C111" i="1"/>
  <c r="C110" i="1"/>
  <c r="K110" i="1"/>
  <c r="K67" i="1"/>
  <c r="K55" i="1"/>
  <c r="K64" i="1"/>
  <c r="K97" i="1" l="1"/>
  <c r="K112" i="1"/>
  <c r="K27" i="1"/>
  <c r="K115" i="1" l="1"/>
  <c r="K114" i="1" s="1"/>
  <c r="K103" i="1"/>
  <c r="K93" i="1"/>
  <c r="K100" i="1"/>
  <c r="K11" i="1"/>
  <c r="H11" i="1" s="1"/>
  <c r="K34" i="1"/>
  <c r="K149" i="1" l="1"/>
  <c r="C7" i="19" l="1"/>
  <c r="B7" i="19"/>
  <c r="H7" i="19"/>
  <c r="L7" i="19"/>
  <c r="R7" i="19"/>
  <c r="S7" i="19"/>
  <c r="E7" i="19" l="1"/>
  <c r="M7" i="19" s="1"/>
  <c r="P7" i="19"/>
  <c r="B14" i="21"/>
  <c r="B13" i="21"/>
  <c r="B12" i="21"/>
  <c r="B11" i="21"/>
  <c r="B10" i="21"/>
  <c r="B9" i="21"/>
  <c r="B8" i="21"/>
  <c r="B7" i="21"/>
  <c r="B6" i="21"/>
  <c r="G14" i="21"/>
  <c r="E14" i="21" s="1"/>
  <c r="G13" i="21"/>
  <c r="E13" i="21" s="1"/>
  <c r="G12" i="21"/>
  <c r="E12" i="21" s="1"/>
  <c r="G11" i="21"/>
  <c r="E11" i="21" s="1"/>
  <c r="G10" i="21"/>
  <c r="G9" i="21"/>
  <c r="E9" i="21" s="1"/>
  <c r="G8" i="21"/>
  <c r="E8" i="21" s="1"/>
  <c r="G7" i="21"/>
  <c r="S7" i="21" s="1"/>
  <c r="G6" i="21"/>
  <c r="C14" i="21"/>
  <c r="C13" i="21"/>
  <c r="C12" i="21"/>
  <c r="C11" i="21"/>
  <c r="C10" i="21"/>
  <c r="C9" i="21"/>
  <c r="C8" i="21"/>
  <c r="C7" i="21"/>
  <c r="C6" i="21"/>
  <c r="H7" i="21"/>
  <c r="L7" i="21"/>
  <c r="R7" i="21"/>
  <c r="H8" i="21"/>
  <c r="L8" i="21"/>
  <c r="R8" i="21"/>
  <c r="H9" i="21"/>
  <c r="L9" i="21"/>
  <c r="R9" i="21"/>
  <c r="S9" i="21"/>
  <c r="E10" i="21"/>
  <c r="H10" i="21"/>
  <c r="L10" i="21"/>
  <c r="R10" i="21"/>
  <c r="S10" i="21"/>
  <c r="H11" i="21"/>
  <c r="L11" i="21"/>
  <c r="R11" i="21"/>
  <c r="S11" i="21"/>
  <c r="H12" i="21"/>
  <c r="L12" i="21"/>
  <c r="R12" i="21"/>
  <c r="S12" i="21"/>
  <c r="H13" i="21"/>
  <c r="L13" i="21"/>
  <c r="R13" i="21"/>
  <c r="S13" i="21"/>
  <c r="H14" i="21"/>
  <c r="L14" i="21"/>
  <c r="R14" i="21"/>
  <c r="S14" i="21"/>
  <c r="E6" i="21"/>
  <c r="H6" i="21"/>
  <c r="L6" i="21"/>
  <c r="R6" i="21"/>
  <c r="S6" i="21"/>
  <c r="I7" i="19" l="1"/>
  <c r="Q7" i="19"/>
  <c r="I10" i="21"/>
  <c r="P7" i="21"/>
  <c r="M8" i="21"/>
  <c r="M12" i="21"/>
  <c r="P11" i="21"/>
  <c r="Q11" i="21" s="1"/>
  <c r="I11" i="21"/>
  <c r="M11" i="21"/>
  <c r="I14" i="21"/>
  <c r="P12" i="21"/>
  <c r="Q12" i="21" s="1"/>
  <c r="I12" i="21"/>
  <c r="P10" i="21"/>
  <c r="Q10" i="21" s="1"/>
  <c r="M9" i="21"/>
  <c r="S8" i="21"/>
  <c r="P8" i="21" s="1"/>
  <c r="Q8" i="21" s="1"/>
  <c r="I8" i="21"/>
  <c r="E7" i="21"/>
  <c r="I6" i="21"/>
  <c r="P14" i="21"/>
  <c r="Q14" i="21" s="1"/>
  <c r="M10" i="21"/>
  <c r="M14" i="21"/>
  <c r="M13" i="21"/>
  <c r="P9" i="21"/>
  <c r="Q9" i="21" s="1"/>
  <c r="I9" i="21"/>
  <c r="M6" i="21"/>
  <c r="P13" i="21"/>
  <c r="Q13" i="21" s="1"/>
  <c r="I13" i="21"/>
  <c r="P6" i="21"/>
  <c r="Q6" i="21" s="1"/>
  <c r="Q7" i="21" l="1"/>
  <c r="I7" i="21"/>
  <c r="M7" i="21"/>
  <c r="B179" i="1"/>
  <c r="N176" i="1"/>
  <c r="O176" i="1"/>
  <c r="J176" i="1"/>
  <c r="K176" i="1"/>
  <c r="F179" i="1"/>
  <c r="R179" i="1" s="1"/>
  <c r="C179" i="1"/>
  <c r="H179" i="1"/>
  <c r="L179" i="1"/>
  <c r="E179" i="1" l="1"/>
  <c r="M179" i="1" s="1"/>
  <c r="F176" i="1"/>
  <c r="S179" i="1"/>
  <c r="P179" i="1" s="1"/>
  <c r="Q179" i="1" l="1"/>
  <c r="I179" i="1"/>
  <c r="G128" i="1"/>
  <c r="B128" i="1"/>
  <c r="R128" i="1"/>
  <c r="L128" i="1"/>
  <c r="H128" i="1"/>
  <c r="N127" i="1"/>
  <c r="L127" i="1" s="1"/>
  <c r="E127" i="1" l="1"/>
  <c r="M127" i="1" s="1"/>
  <c r="R127" i="1"/>
  <c r="E128" i="1"/>
  <c r="I128" i="1" s="1"/>
  <c r="S128" i="1"/>
  <c r="P128" i="1" s="1"/>
  <c r="H127" i="1"/>
  <c r="S127" i="1" l="1"/>
  <c r="P127" i="1" s="1"/>
  <c r="Q127" i="1" s="1"/>
  <c r="M128" i="1"/>
  <c r="I127" i="1"/>
  <c r="Q128" i="1"/>
  <c r="K10" i="1" l="1"/>
  <c r="O171" i="1" l="1"/>
  <c r="N171" i="1"/>
  <c r="L171" i="1" s="1"/>
  <c r="K171" i="1"/>
  <c r="G172" i="1"/>
  <c r="S172" i="1" s="1"/>
  <c r="C172" i="1"/>
  <c r="B172" i="1"/>
  <c r="R172" i="1"/>
  <c r="L172" i="1"/>
  <c r="H172" i="1"/>
  <c r="G171" i="1" l="1"/>
  <c r="S171" i="1" s="1"/>
  <c r="P172" i="1"/>
  <c r="E172" i="1"/>
  <c r="I172" i="1" s="1"/>
  <c r="G16" i="21"/>
  <c r="E16" i="21" s="1"/>
  <c r="M16" i="21" s="1"/>
  <c r="H16" i="21"/>
  <c r="L16" i="21"/>
  <c r="R16" i="21"/>
  <c r="C16" i="21"/>
  <c r="B16" i="21"/>
  <c r="Q172" i="1" l="1"/>
  <c r="M172" i="1"/>
  <c r="I16" i="21"/>
  <c r="S16" i="21"/>
  <c r="P16" i="21" s="1"/>
  <c r="Q16" i="21" s="1"/>
  <c r="G152" i="1" l="1"/>
  <c r="E152" i="1" s="1"/>
  <c r="C152" i="1"/>
  <c r="B152" i="1"/>
  <c r="H152" i="1"/>
  <c r="L152" i="1"/>
  <c r="R152" i="1"/>
  <c r="M152" i="1" l="1"/>
  <c r="S152" i="1"/>
  <c r="P152" i="1" s="1"/>
  <c r="Q152" i="1" s="1"/>
  <c r="I152" i="1"/>
  <c r="K22" i="1" l="1"/>
  <c r="K6" i="1" l="1"/>
  <c r="O158" i="1" l="1"/>
  <c r="N158" i="1"/>
  <c r="K158" i="1"/>
  <c r="J158" i="1"/>
  <c r="H158" i="1" s="1"/>
  <c r="F158" i="1"/>
  <c r="G161" i="1"/>
  <c r="E161" i="1" s="1"/>
  <c r="G160" i="1"/>
  <c r="E160" i="1" s="1"/>
  <c r="C161" i="1"/>
  <c r="B161" i="1"/>
  <c r="C160" i="1"/>
  <c r="B160" i="1"/>
  <c r="G159" i="1"/>
  <c r="E159" i="1" s="1"/>
  <c r="C159" i="1"/>
  <c r="B159" i="1"/>
  <c r="H160" i="1"/>
  <c r="L160" i="1"/>
  <c r="R160" i="1"/>
  <c r="S160" i="1"/>
  <c r="H161" i="1"/>
  <c r="L161" i="1"/>
  <c r="R161" i="1"/>
  <c r="S161" i="1"/>
  <c r="H159" i="1"/>
  <c r="R159" i="1"/>
  <c r="R158" i="1" s="1"/>
  <c r="L159" i="1"/>
  <c r="I160" i="1" l="1"/>
  <c r="I161" i="1"/>
  <c r="S159" i="1"/>
  <c r="S158" i="1" s="1"/>
  <c r="P158" i="1" s="1"/>
  <c r="G158" i="1"/>
  <c r="E158" i="1" s="1"/>
  <c r="I158" i="1" s="1"/>
  <c r="M160" i="1"/>
  <c r="M161" i="1"/>
  <c r="L158" i="1"/>
  <c r="M159" i="1"/>
  <c r="P161" i="1"/>
  <c r="Q161" i="1" s="1"/>
  <c r="P160" i="1"/>
  <c r="Q160" i="1" s="1"/>
  <c r="P159" i="1"/>
  <c r="Q159" i="1" s="1"/>
  <c r="I159" i="1"/>
  <c r="G124" i="1"/>
  <c r="E124" i="1" s="1"/>
  <c r="C124" i="1"/>
  <c r="B124" i="1"/>
  <c r="H124" i="1"/>
  <c r="L124" i="1"/>
  <c r="R124" i="1"/>
  <c r="M158" i="1" l="1"/>
  <c r="Q158" i="1"/>
  <c r="M124" i="1"/>
  <c r="I124" i="1"/>
  <c r="S124" i="1"/>
  <c r="P124" i="1" s="1"/>
  <c r="Q124" i="1" s="1"/>
  <c r="O173" i="1" l="1"/>
  <c r="K173" i="1"/>
  <c r="G175" i="1"/>
  <c r="E175" i="1" s="1"/>
  <c r="C175" i="1"/>
  <c r="B175" i="1"/>
  <c r="H175" i="1"/>
  <c r="L175" i="1"/>
  <c r="R175" i="1"/>
  <c r="M175" i="1" l="1"/>
  <c r="S175" i="1"/>
  <c r="P175" i="1" s="1"/>
  <c r="Q175" i="1" s="1"/>
  <c r="I175" i="1"/>
  <c r="G7" i="22"/>
  <c r="E7" i="22" s="1"/>
  <c r="C7" i="22"/>
  <c r="B7" i="22"/>
  <c r="H7" i="22"/>
  <c r="L7" i="22"/>
  <c r="R7" i="22"/>
  <c r="S7" i="22" l="1"/>
  <c r="P7" i="22" s="1"/>
  <c r="Q7" i="22" s="1"/>
  <c r="I7" i="22"/>
  <c r="M7" i="22"/>
  <c r="K25" i="1" l="1"/>
  <c r="K45" i="1"/>
  <c r="K61" i="1"/>
  <c r="K46" i="1"/>
  <c r="K82" i="1"/>
  <c r="G15" i="21" l="1"/>
  <c r="S15" i="21" s="1"/>
  <c r="B15" i="21"/>
  <c r="C15" i="21"/>
  <c r="H15" i="21"/>
  <c r="L15" i="21"/>
  <c r="R15" i="21"/>
  <c r="P15" i="21" l="1"/>
  <c r="E15" i="21"/>
  <c r="M15" i="21" s="1"/>
  <c r="Q15" i="21" l="1"/>
  <c r="I15" i="21"/>
  <c r="O39" i="1"/>
  <c r="B41" i="1"/>
  <c r="G41" i="1"/>
  <c r="E41" i="1" s="1"/>
  <c r="C41" i="1"/>
  <c r="H41" i="1"/>
  <c r="L41" i="1"/>
  <c r="R41" i="1"/>
  <c r="O78" i="1"/>
  <c r="B87" i="1"/>
  <c r="B86" i="1"/>
  <c r="G87" i="1"/>
  <c r="G86" i="1"/>
  <c r="C87" i="1"/>
  <c r="C86" i="1"/>
  <c r="E87" i="1"/>
  <c r="H87" i="1"/>
  <c r="L87" i="1"/>
  <c r="R87" i="1"/>
  <c r="S87" i="1"/>
  <c r="E86" i="1"/>
  <c r="H86" i="1"/>
  <c r="L86" i="1"/>
  <c r="R86" i="1"/>
  <c r="S86" i="1"/>
  <c r="O57" i="1"/>
  <c r="B77" i="1"/>
  <c r="G77" i="1"/>
  <c r="E77" i="1" s="1"/>
  <c r="C77" i="1"/>
  <c r="H77" i="1"/>
  <c r="L77" i="1"/>
  <c r="R77" i="1"/>
  <c r="B55" i="1"/>
  <c r="G55" i="1"/>
  <c r="E55" i="1" s="1"/>
  <c r="C55" i="1"/>
  <c r="H55" i="1"/>
  <c r="L55" i="1"/>
  <c r="R55" i="1"/>
  <c r="P87" i="1" l="1"/>
  <c r="Q87" i="1" s="1"/>
  <c r="M87" i="1"/>
  <c r="M77" i="1"/>
  <c r="P86" i="1"/>
  <c r="Q86" i="1" s="1"/>
  <c r="M86" i="1"/>
  <c r="S77" i="1"/>
  <c r="P77" i="1" s="1"/>
  <c r="Q77" i="1" s="1"/>
  <c r="I41" i="1"/>
  <c r="M41" i="1"/>
  <c r="S41" i="1"/>
  <c r="P41" i="1" s="1"/>
  <c r="Q41" i="1" s="1"/>
  <c r="I87" i="1"/>
  <c r="I86" i="1"/>
  <c r="I77" i="1"/>
  <c r="M55" i="1"/>
  <c r="I55" i="1"/>
  <c r="S55" i="1"/>
  <c r="P55" i="1" s="1"/>
  <c r="Q55" i="1" s="1"/>
  <c r="F4" i="22" l="1"/>
  <c r="S6" i="22"/>
  <c r="H6" i="22"/>
  <c r="L6" i="22"/>
  <c r="O117" i="1"/>
  <c r="G119" i="1"/>
  <c r="E119" i="1" s="1"/>
  <c r="C119" i="1"/>
  <c r="B119" i="1"/>
  <c r="H119" i="1"/>
  <c r="L119" i="1"/>
  <c r="R119" i="1"/>
  <c r="E6" i="22" l="1"/>
  <c r="M6" i="22" s="1"/>
  <c r="R6" i="22"/>
  <c r="P6" i="22" s="1"/>
  <c r="I119" i="1"/>
  <c r="M119" i="1"/>
  <c r="S119" i="1"/>
  <c r="P119" i="1" s="1"/>
  <c r="Q119" i="1" s="1"/>
  <c r="H133" i="1"/>
  <c r="G133" i="1"/>
  <c r="E133" i="1" s="1"/>
  <c r="C133" i="1"/>
  <c r="B133" i="1"/>
  <c r="L133" i="1"/>
  <c r="R133" i="1"/>
  <c r="O90" i="1"/>
  <c r="N90" i="1"/>
  <c r="G106" i="1"/>
  <c r="S106" i="1" s="1"/>
  <c r="H106" i="1"/>
  <c r="L106" i="1"/>
  <c r="R106" i="1"/>
  <c r="C106" i="1"/>
  <c r="B106" i="1"/>
  <c r="Q6" i="22" l="1"/>
  <c r="I133" i="1"/>
  <c r="I6" i="22"/>
  <c r="E106" i="1"/>
  <c r="I106" i="1" s="1"/>
  <c r="M133" i="1"/>
  <c r="S133" i="1"/>
  <c r="P133" i="1" s="1"/>
  <c r="Q133" i="1" s="1"/>
  <c r="P106" i="1"/>
  <c r="H5" i="22"/>
  <c r="G4" i="22"/>
  <c r="S9" i="22"/>
  <c r="R5" i="22"/>
  <c r="L5" i="22"/>
  <c r="O4" i="22"/>
  <c r="N4" i="22"/>
  <c r="L4" i="22" s="1"/>
  <c r="K4" i="22"/>
  <c r="J4" i="22"/>
  <c r="M106" i="1" l="1"/>
  <c r="Q106" i="1"/>
  <c r="S4" i="22"/>
  <c r="E4" i="22"/>
  <c r="M4" i="22" s="1"/>
  <c r="R4" i="22"/>
  <c r="S5" i="22"/>
  <c r="P5" i="22" s="1"/>
  <c r="H4" i="22"/>
  <c r="E5" i="22"/>
  <c r="M5" i="22" s="1"/>
  <c r="C151" i="1"/>
  <c r="C150" i="1"/>
  <c r="C149" i="1"/>
  <c r="I5" i="22" l="1"/>
  <c r="Q5" i="22"/>
  <c r="I4" i="22"/>
  <c r="P4" i="22"/>
  <c r="K120" i="1" l="1"/>
  <c r="U4" i="22"/>
  <c r="Q4" i="22"/>
  <c r="T4" i="22" s="1"/>
  <c r="K117" i="1" l="1"/>
  <c r="K90" i="1" l="1"/>
  <c r="K62" i="1"/>
  <c r="K73" i="1"/>
  <c r="K84" i="1"/>
  <c r="K78" i="1" s="1"/>
  <c r="K24" i="1"/>
  <c r="G81" i="1" l="1"/>
  <c r="C5" i="21" l="1"/>
  <c r="B5" i="21"/>
  <c r="R5" i="21" l="1"/>
  <c r="L5" i="21"/>
  <c r="H5" i="21"/>
  <c r="O4" i="21"/>
  <c r="N4" i="21"/>
  <c r="J4" i="21"/>
  <c r="F4" i="21"/>
  <c r="R4" i="21" l="1"/>
  <c r="H4" i="21"/>
  <c r="L4" i="21"/>
  <c r="F6" i="16"/>
  <c r="G126" i="1" l="1"/>
  <c r="S126" i="1" s="1"/>
  <c r="C126" i="1"/>
  <c r="B126" i="1"/>
  <c r="R126" i="1"/>
  <c r="L126" i="1"/>
  <c r="H126" i="1"/>
  <c r="O125" i="1"/>
  <c r="N125" i="1"/>
  <c r="K125" i="1"/>
  <c r="J125" i="1"/>
  <c r="F125" i="1"/>
  <c r="R125" i="1" l="1"/>
  <c r="G125" i="1"/>
  <c r="E125" i="1" s="1"/>
  <c r="L125" i="1"/>
  <c r="P126" i="1"/>
  <c r="H125" i="1"/>
  <c r="E126" i="1"/>
  <c r="I126" i="1" s="1"/>
  <c r="S125" i="1" l="1"/>
  <c r="P125" i="1" s="1"/>
  <c r="Q125" i="1" s="1"/>
  <c r="M125" i="1"/>
  <c r="Q126" i="1"/>
  <c r="I125" i="1"/>
  <c r="M126" i="1"/>
  <c r="B177" i="1" l="1"/>
  <c r="G177" i="1"/>
  <c r="C177" i="1"/>
  <c r="R177" i="1"/>
  <c r="L177" i="1"/>
  <c r="H177" i="1"/>
  <c r="E177" i="1" l="1"/>
  <c r="I177" i="1" s="1"/>
  <c r="G176" i="1"/>
  <c r="E176" i="1" s="1"/>
  <c r="H176" i="1"/>
  <c r="R176" i="1"/>
  <c r="S177" i="1"/>
  <c r="P177" i="1" s="1"/>
  <c r="Q177" i="1" s="1"/>
  <c r="L176" i="1"/>
  <c r="M177" i="1" l="1"/>
  <c r="S176" i="1"/>
  <c r="P176" i="1" s="1"/>
  <c r="Q176" i="1" s="1"/>
  <c r="I176" i="1"/>
  <c r="K58" i="1" l="1"/>
  <c r="K75" i="1" l="1"/>
  <c r="H150" i="1" l="1"/>
  <c r="K66" i="1" l="1"/>
  <c r="K72" i="1"/>
  <c r="K48" i="1"/>
  <c r="K43" i="1" s="1"/>
  <c r="K68" i="1"/>
  <c r="K20" i="1"/>
  <c r="K71" i="1" l="1"/>
  <c r="B85" i="1" l="1"/>
  <c r="C85" i="1"/>
  <c r="G85" i="1"/>
  <c r="E85" i="1" s="1"/>
  <c r="H85" i="1"/>
  <c r="L85" i="1"/>
  <c r="R85" i="1"/>
  <c r="I85" i="1" l="1"/>
  <c r="M85" i="1"/>
  <c r="S85" i="1"/>
  <c r="P85" i="1" s="1"/>
  <c r="Q85" i="1" s="1"/>
  <c r="G51" i="1" l="1"/>
  <c r="K60" i="1" l="1"/>
  <c r="K57" i="1" s="1"/>
  <c r="G122" i="1" l="1"/>
  <c r="G136" i="1" l="1"/>
  <c r="B16" i="1"/>
  <c r="G16" i="1"/>
  <c r="E16" i="1" s="1"/>
  <c r="C16" i="1"/>
  <c r="H16" i="1"/>
  <c r="L16" i="1"/>
  <c r="R16" i="1"/>
  <c r="M16" i="1" l="1"/>
  <c r="I16" i="1"/>
  <c r="S16" i="1"/>
  <c r="P16" i="1" s="1"/>
  <c r="Q16" i="1" s="1"/>
  <c r="G83" i="1" l="1"/>
  <c r="G169" i="1" l="1"/>
  <c r="G61" i="1" l="1"/>
  <c r="G168" i="1"/>
  <c r="J90" i="1"/>
  <c r="F90" i="1"/>
  <c r="G105" i="1"/>
  <c r="E105" i="1" s="1"/>
  <c r="G104" i="1"/>
  <c r="G103" i="1"/>
  <c r="S103" i="1" s="1"/>
  <c r="G102" i="1"/>
  <c r="S102" i="1" s="1"/>
  <c r="G101" i="1"/>
  <c r="C105" i="1"/>
  <c r="C104" i="1"/>
  <c r="C103" i="1"/>
  <c r="C102" i="1"/>
  <c r="C101" i="1"/>
  <c r="B105" i="1"/>
  <c r="B104" i="1"/>
  <c r="B103" i="1"/>
  <c r="B102" i="1"/>
  <c r="B101" i="1"/>
  <c r="H102" i="1"/>
  <c r="L102" i="1"/>
  <c r="R102" i="1"/>
  <c r="H103" i="1"/>
  <c r="L103" i="1"/>
  <c r="R103" i="1"/>
  <c r="E104" i="1"/>
  <c r="H104" i="1"/>
  <c r="L104" i="1"/>
  <c r="R104" i="1"/>
  <c r="S104" i="1"/>
  <c r="H105" i="1"/>
  <c r="L105" i="1"/>
  <c r="R105" i="1"/>
  <c r="E101" i="1"/>
  <c r="H101" i="1"/>
  <c r="L101" i="1"/>
  <c r="R101" i="1"/>
  <c r="S101" i="1"/>
  <c r="P102" i="1" l="1"/>
  <c r="I104" i="1"/>
  <c r="M105" i="1"/>
  <c r="I105" i="1"/>
  <c r="S105" i="1"/>
  <c r="P105" i="1" s="1"/>
  <c r="Q105" i="1" s="1"/>
  <c r="P104" i="1"/>
  <c r="Q104" i="1" s="1"/>
  <c r="M104" i="1"/>
  <c r="E103" i="1"/>
  <c r="P103" i="1"/>
  <c r="E102" i="1"/>
  <c r="M102" i="1" s="1"/>
  <c r="P101" i="1"/>
  <c r="Q101" i="1" s="1"/>
  <c r="I101" i="1"/>
  <c r="M101" i="1"/>
  <c r="G14" i="1"/>
  <c r="S14" i="1" s="1"/>
  <c r="G31" i="1"/>
  <c r="G30" i="1"/>
  <c r="G29" i="1"/>
  <c r="G28" i="1"/>
  <c r="I102" i="1" l="1"/>
  <c r="Q102" i="1"/>
  <c r="I103" i="1"/>
  <c r="M103" i="1"/>
  <c r="Q103" i="1"/>
  <c r="O138" i="1" l="1"/>
  <c r="J138" i="1"/>
  <c r="N138" i="1"/>
  <c r="K138" i="1"/>
  <c r="F138" i="1"/>
  <c r="B147" i="1"/>
  <c r="B146" i="1"/>
  <c r="B145" i="1"/>
  <c r="B144" i="1"/>
  <c r="B143" i="1"/>
  <c r="G147" i="1"/>
  <c r="E147" i="1" s="1"/>
  <c r="G146" i="1"/>
  <c r="E146" i="1" s="1"/>
  <c r="G145" i="1"/>
  <c r="G144" i="1"/>
  <c r="E144" i="1" s="1"/>
  <c r="G143" i="1"/>
  <c r="E143" i="1" s="1"/>
  <c r="C144" i="1"/>
  <c r="C145" i="1"/>
  <c r="C146" i="1"/>
  <c r="C147" i="1"/>
  <c r="C143" i="1"/>
  <c r="H144" i="1"/>
  <c r="L144" i="1"/>
  <c r="R144" i="1"/>
  <c r="E145" i="1"/>
  <c r="H145" i="1"/>
  <c r="L145" i="1"/>
  <c r="R145" i="1"/>
  <c r="S145" i="1"/>
  <c r="H146" i="1"/>
  <c r="L146" i="1"/>
  <c r="R146" i="1"/>
  <c r="H147" i="1"/>
  <c r="L147" i="1"/>
  <c r="R147" i="1"/>
  <c r="H143" i="1"/>
  <c r="L143" i="1"/>
  <c r="R143" i="1"/>
  <c r="S147" i="1" l="1"/>
  <c r="P147" i="1" s="1"/>
  <c r="Q147" i="1" s="1"/>
  <c r="M144" i="1"/>
  <c r="I146" i="1"/>
  <c r="M147" i="1"/>
  <c r="I145" i="1"/>
  <c r="M146" i="1"/>
  <c r="S146" i="1"/>
  <c r="P146" i="1" s="1"/>
  <c r="Q146" i="1" s="1"/>
  <c r="P145" i="1"/>
  <c r="Q145" i="1" s="1"/>
  <c r="I144" i="1"/>
  <c r="I147" i="1"/>
  <c r="M145" i="1"/>
  <c r="S144" i="1"/>
  <c r="P144" i="1" s="1"/>
  <c r="Q144" i="1" s="1"/>
  <c r="M143" i="1"/>
  <c r="I143" i="1"/>
  <c r="S143" i="1"/>
  <c r="P143" i="1" s="1"/>
  <c r="Q143" i="1" s="1"/>
  <c r="G100" i="1"/>
  <c r="S100" i="1" s="1"/>
  <c r="G99" i="1"/>
  <c r="E99" i="1" s="1"/>
  <c r="G98" i="1"/>
  <c r="S98" i="1" s="1"/>
  <c r="G97" i="1"/>
  <c r="S97" i="1" s="1"/>
  <c r="G96" i="1"/>
  <c r="E96" i="1" s="1"/>
  <c r="B100" i="1"/>
  <c r="B99" i="1"/>
  <c r="B98" i="1"/>
  <c r="B97" i="1"/>
  <c r="B96" i="1"/>
  <c r="C100" i="1"/>
  <c r="C99" i="1"/>
  <c r="C98" i="1"/>
  <c r="C97" i="1"/>
  <c r="C96" i="1"/>
  <c r="E97" i="1"/>
  <c r="H97" i="1"/>
  <c r="L97" i="1"/>
  <c r="R97" i="1"/>
  <c r="H98" i="1"/>
  <c r="L98" i="1"/>
  <c r="R98" i="1"/>
  <c r="H99" i="1"/>
  <c r="L99" i="1"/>
  <c r="R99" i="1"/>
  <c r="H100" i="1"/>
  <c r="L100" i="1"/>
  <c r="R100" i="1"/>
  <c r="H96" i="1"/>
  <c r="L96" i="1"/>
  <c r="R96" i="1"/>
  <c r="M96" i="1" l="1"/>
  <c r="I97" i="1"/>
  <c r="P97" i="1"/>
  <c r="Q97" i="1" s="1"/>
  <c r="P98" i="1"/>
  <c r="M97" i="1"/>
  <c r="P100" i="1"/>
  <c r="E100" i="1"/>
  <c r="I100" i="1" s="1"/>
  <c r="I99" i="1"/>
  <c r="M99" i="1"/>
  <c r="S99" i="1"/>
  <c r="P99" i="1" s="1"/>
  <c r="Q99" i="1" s="1"/>
  <c r="E98" i="1"/>
  <c r="M98" i="1" s="1"/>
  <c r="S96" i="1"/>
  <c r="P96" i="1" s="1"/>
  <c r="Q96" i="1" s="1"/>
  <c r="I96" i="1"/>
  <c r="I98" i="1" l="1"/>
  <c r="M100" i="1"/>
  <c r="Q100" i="1"/>
  <c r="Q98" i="1"/>
  <c r="N173" i="1" l="1"/>
  <c r="L173" i="1" s="1"/>
  <c r="J173" i="1"/>
  <c r="F173" i="1"/>
  <c r="F171" i="1" s="1"/>
  <c r="H173" i="1" l="1"/>
  <c r="J171" i="1"/>
  <c r="H171" i="1" s="1"/>
  <c r="R171" i="1"/>
  <c r="P171" i="1" s="1"/>
  <c r="E171" i="1"/>
  <c r="R173" i="1"/>
  <c r="G174" i="1"/>
  <c r="G173" i="1" s="1"/>
  <c r="C174" i="1"/>
  <c r="B174" i="1"/>
  <c r="R174" i="1"/>
  <c r="L174" i="1"/>
  <c r="H174" i="1"/>
  <c r="R169" i="1"/>
  <c r="R170" i="1"/>
  <c r="R168" i="1"/>
  <c r="Q171" i="1" l="1"/>
  <c r="I171" i="1"/>
  <c r="M171" i="1"/>
  <c r="S174" i="1"/>
  <c r="P174" i="1" s="1"/>
  <c r="E174" i="1"/>
  <c r="I174" i="1" s="1"/>
  <c r="E173" i="1" l="1"/>
  <c r="I173" i="1" s="1"/>
  <c r="S173" i="1"/>
  <c r="P173" i="1" s="1"/>
  <c r="Q174" i="1"/>
  <c r="M174" i="1"/>
  <c r="Q173" i="1" l="1"/>
  <c r="N156" i="1" l="1"/>
  <c r="O156" i="1"/>
  <c r="J156" i="1"/>
  <c r="K156" i="1"/>
  <c r="F156" i="1"/>
  <c r="B157" i="1"/>
  <c r="G156" i="1"/>
  <c r="C157" i="1"/>
  <c r="R157" i="1"/>
  <c r="L157" i="1"/>
  <c r="H157" i="1"/>
  <c r="S156" i="1" l="1"/>
  <c r="H156" i="1"/>
  <c r="L156" i="1"/>
  <c r="S157" i="1"/>
  <c r="P157" i="1" s="1"/>
  <c r="E157" i="1"/>
  <c r="I157" i="1" s="1"/>
  <c r="R156" i="1"/>
  <c r="E156" i="1"/>
  <c r="M156" i="1" s="1"/>
  <c r="N117" i="1"/>
  <c r="J117" i="1"/>
  <c r="B118" i="1"/>
  <c r="C118" i="1"/>
  <c r="G118" i="1"/>
  <c r="G117" i="1" s="1"/>
  <c r="F117" i="1"/>
  <c r="R118" i="1"/>
  <c r="L118" i="1"/>
  <c r="H118" i="1"/>
  <c r="B95" i="1"/>
  <c r="B94" i="1"/>
  <c r="B93" i="1"/>
  <c r="G95" i="1"/>
  <c r="E95" i="1" s="1"/>
  <c r="G94" i="1"/>
  <c r="E94" i="1" s="1"/>
  <c r="G93" i="1"/>
  <c r="E93" i="1" s="1"/>
  <c r="C95" i="1"/>
  <c r="C94" i="1"/>
  <c r="C93" i="1"/>
  <c r="H95" i="1"/>
  <c r="L95" i="1"/>
  <c r="R95" i="1"/>
  <c r="H94" i="1"/>
  <c r="L94" i="1"/>
  <c r="R94" i="1"/>
  <c r="H93" i="1"/>
  <c r="L93" i="1"/>
  <c r="R93" i="1"/>
  <c r="N78" i="1"/>
  <c r="J78" i="1"/>
  <c r="F78" i="1"/>
  <c r="B84" i="1"/>
  <c r="G84" i="1"/>
  <c r="E84" i="1" s="1"/>
  <c r="C84" i="1"/>
  <c r="H84" i="1"/>
  <c r="L84" i="1"/>
  <c r="R84" i="1"/>
  <c r="B116" i="1"/>
  <c r="B115" i="1"/>
  <c r="N114" i="1"/>
  <c r="O114" i="1"/>
  <c r="J114" i="1"/>
  <c r="F114" i="1"/>
  <c r="G116" i="1"/>
  <c r="S116" i="1" s="1"/>
  <c r="G115" i="1"/>
  <c r="S115" i="1" s="1"/>
  <c r="C116" i="1"/>
  <c r="C115" i="1"/>
  <c r="H116" i="1"/>
  <c r="L116" i="1"/>
  <c r="R116" i="1"/>
  <c r="R115" i="1"/>
  <c r="L115" i="1"/>
  <c r="H115" i="1"/>
  <c r="G113" i="1"/>
  <c r="E113" i="1" s="1"/>
  <c r="G112" i="1"/>
  <c r="E112" i="1" s="1"/>
  <c r="G111" i="1"/>
  <c r="E111" i="1" s="1"/>
  <c r="G110" i="1"/>
  <c r="G109" i="1"/>
  <c r="S109" i="1" s="1"/>
  <c r="B113" i="1"/>
  <c r="B112" i="1"/>
  <c r="B111" i="1"/>
  <c r="B110" i="1"/>
  <c r="B109" i="1"/>
  <c r="C113" i="1"/>
  <c r="C109" i="1"/>
  <c r="N108" i="1"/>
  <c r="O108" i="1"/>
  <c r="J108" i="1"/>
  <c r="K108" i="1"/>
  <c r="F108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R109" i="1"/>
  <c r="L109" i="1"/>
  <c r="H109" i="1"/>
  <c r="P156" i="1" l="1"/>
  <c r="Q156" i="1" s="1"/>
  <c r="M157" i="1"/>
  <c r="M95" i="1"/>
  <c r="Q157" i="1"/>
  <c r="I156" i="1"/>
  <c r="S93" i="1"/>
  <c r="P93" i="1" s="1"/>
  <c r="Q93" i="1" s="1"/>
  <c r="I112" i="1"/>
  <c r="P116" i="1"/>
  <c r="M84" i="1"/>
  <c r="L117" i="1"/>
  <c r="R117" i="1"/>
  <c r="S117" i="1"/>
  <c r="H117" i="1"/>
  <c r="E118" i="1"/>
  <c r="I118" i="1" s="1"/>
  <c r="S118" i="1"/>
  <c r="P118" i="1" s="1"/>
  <c r="E117" i="1"/>
  <c r="E116" i="1"/>
  <c r="I116" i="1" s="1"/>
  <c r="S94" i="1"/>
  <c r="P94" i="1" s="1"/>
  <c r="Q94" i="1" s="1"/>
  <c r="S95" i="1"/>
  <c r="P95" i="1" s="1"/>
  <c r="Q95" i="1" s="1"/>
  <c r="I95" i="1"/>
  <c r="I94" i="1"/>
  <c r="M94" i="1"/>
  <c r="M93" i="1"/>
  <c r="I93" i="1"/>
  <c r="S84" i="1"/>
  <c r="P84" i="1" s="1"/>
  <c r="Q84" i="1" s="1"/>
  <c r="I84" i="1"/>
  <c r="G114" i="1"/>
  <c r="S114" i="1" s="1"/>
  <c r="H114" i="1"/>
  <c r="E115" i="1"/>
  <c r="I115" i="1" s="1"/>
  <c r="P115" i="1"/>
  <c r="R114" i="1"/>
  <c r="L114" i="1"/>
  <c r="M113" i="1"/>
  <c r="S113" i="1"/>
  <c r="P113" i="1" s="1"/>
  <c r="Q113" i="1" s="1"/>
  <c r="I113" i="1"/>
  <c r="S112" i="1"/>
  <c r="P112" i="1" s="1"/>
  <c r="Q112" i="1" s="1"/>
  <c r="M112" i="1"/>
  <c r="M111" i="1"/>
  <c r="I111" i="1"/>
  <c r="S111" i="1"/>
  <c r="P111" i="1" s="1"/>
  <c r="Q111" i="1" s="1"/>
  <c r="G108" i="1"/>
  <c r="S108" i="1" s="1"/>
  <c r="S110" i="1"/>
  <c r="P110" i="1" s="1"/>
  <c r="E110" i="1"/>
  <c r="M110" i="1" s="1"/>
  <c r="P109" i="1"/>
  <c r="L108" i="1"/>
  <c r="R108" i="1"/>
  <c r="H108" i="1"/>
  <c r="E109" i="1"/>
  <c r="I109" i="1" s="1"/>
  <c r="G151" i="1"/>
  <c r="E151" i="1" s="1"/>
  <c r="G150" i="1"/>
  <c r="S150" i="1" s="1"/>
  <c r="G149" i="1"/>
  <c r="N148" i="1"/>
  <c r="J148" i="1"/>
  <c r="B151" i="1"/>
  <c r="B150" i="1"/>
  <c r="B149" i="1"/>
  <c r="L150" i="1"/>
  <c r="R150" i="1"/>
  <c r="H151" i="1"/>
  <c r="L151" i="1"/>
  <c r="R151" i="1"/>
  <c r="R149" i="1"/>
  <c r="L149" i="1"/>
  <c r="H149" i="1"/>
  <c r="S148" i="1" l="1"/>
  <c r="S149" i="1"/>
  <c r="P150" i="1"/>
  <c r="Q118" i="1"/>
  <c r="M117" i="1"/>
  <c r="M118" i="1"/>
  <c r="M151" i="1"/>
  <c r="P117" i="1"/>
  <c r="Q117" i="1" s="1"/>
  <c r="I117" i="1"/>
  <c r="M116" i="1"/>
  <c r="Q116" i="1"/>
  <c r="M115" i="1"/>
  <c r="P114" i="1"/>
  <c r="E149" i="1"/>
  <c r="I149" i="1" s="1"/>
  <c r="E114" i="1"/>
  <c r="I114" i="1" s="1"/>
  <c r="Q115" i="1"/>
  <c r="I110" i="1"/>
  <c r="Q110" i="1"/>
  <c r="E108" i="1"/>
  <c r="M108" i="1" s="1"/>
  <c r="P108" i="1"/>
  <c r="Q109" i="1"/>
  <c r="M109" i="1"/>
  <c r="S151" i="1"/>
  <c r="P151" i="1" s="1"/>
  <c r="Q151" i="1" s="1"/>
  <c r="I151" i="1"/>
  <c r="E150" i="1"/>
  <c r="I150" i="1" s="1"/>
  <c r="H148" i="1"/>
  <c r="P149" i="1"/>
  <c r="R148" i="1"/>
  <c r="L148" i="1"/>
  <c r="N120" i="1"/>
  <c r="O120" i="1"/>
  <c r="J120" i="1"/>
  <c r="F120" i="1"/>
  <c r="G123" i="1"/>
  <c r="S123" i="1" s="1"/>
  <c r="G121" i="1"/>
  <c r="B123" i="1"/>
  <c r="B122" i="1"/>
  <c r="B121" i="1"/>
  <c r="C123" i="1"/>
  <c r="C122" i="1"/>
  <c r="C121" i="1"/>
  <c r="E122" i="1"/>
  <c r="H122" i="1"/>
  <c r="L122" i="1"/>
  <c r="R122" i="1"/>
  <c r="S122" i="1"/>
  <c r="H123" i="1"/>
  <c r="L123" i="1"/>
  <c r="R123" i="1"/>
  <c r="R121" i="1"/>
  <c r="L121" i="1"/>
  <c r="H121" i="1"/>
  <c r="S121" i="1" l="1"/>
  <c r="G120" i="1"/>
  <c r="Q150" i="1"/>
  <c r="P123" i="1"/>
  <c r="P122" i="1"/>
  <c r="Q122" i="1" s="1"/>
  <c r="M122" i="1"/>
  <c r="M114" i="1"/>
  <c r="Q114" i="1"/>
  <c r="M149" i="1"/>
  <c r="Q149" i="1"/>
  <c r="Q108" i="1"/>
  <c r="I108" i="1"/>
  <c r="E148" i="1"/>
  <c r="M148" i="1" s="1"/>
  <c r="M150" i="1"/>
  <c r="P148" i="1"/>
  <c r="E123" i="1"/>
  <c r="M123" i="1" s="1"/>
  <c r="I122" i="1"/>
  <c r="E121" i="1"/>
  <c r="I121" i="1" s="1"/>
  <c r="L120" i="1"/>
  <c r="H120" i="1"/>
  <c r="P121" i="1"/>
  <c r="R120" i="1"/>
  <c r="G142" i="1"/>
  <c r="E142" i="1" s="1"/>
  <c r="B142" i="1"/>
  <c r="C142" i="1"/>
  <c r="G141" i="1"/>
  <c r="E141" i="1" s="1"/>
  <c r="G140" i="1"/>
  <c r="G139" i="1"/>
  <c r="B141" i="1"/>
  <c r="B140" i="1"/>
  <c r="B139" i="1"/>
  <c r="C141" i="1"/>
  <c r="C140" i="1"/>
  <c r="C139" i="1"/>
  <c r="E140" i="1"/>
  <c r="H140" i="1"/>
  <c r="L140" i="1"/>
  <c r="R140" i="1"/>
  <c r="S140" i="1"/>
  <c r="H141" i="1"/>
  <c r="L141" i="1"/>
  <c r="R141" i="1"/>
  <c r="H142" i="1"/>
  <c r="L142" i="1"/>
  <c r="R142" i="1"/>
  <c r="R139" i="1"/>
  <c r="L139" i="1"/>
  <c r="H139" i="1"/>
  <c r="G137" i="1"/>
  <c r="E137" i="1" s="1"/>
  <c r="E136" i="1"/>
  <c r="G135" i="1"/>
  <c r="S135" i="1" s="1"/>
  <c r="B137" i="1"/>
  <c r="B136" i="1"/>
  <c r="B135" i="1"/>
  <c r="C137" i="1"/>
  <c r="C136" i="1"/>
  <c r="C135" i="1"/>
  <c r="N134" i="1"/>
  <c r="N131" i="1" s="1"/>
  <c r="O134" i="1"/>
  <c r="O131" i="1" s="1"/>
  <c r="J134" i="1"/>
  <c r="J131" i="1" s="1"/>
  <c r="K134" i="1"/>
  <c r="K131" i="1" s="1"/>
  <c r="F134" i="1"/>
  <c r="F131" i="1" s="1"/>
  <c r="H136" i="1"/>
  <c r="L136" i="1"/>
  <c r="R136" i="1"/>
  <c r="H137" i="1"/>
  <c r="L137" i="1"/>
  <c r="R137" i="1"/>
  <c r="S137" i="1"/>
  <c r="R135" i="1"/>
  <c r="L135" i="1"/>
  <c r="H135" i="1"/>
  <c r="E120" i="1" l="1"/>
  <c r="M120" i="1" s="1"/>
  <c r="I148" i="1"/>
  <c r="E139" i="1"/>
  <c r="I139" i="1" s="1"/>
  <c r="G138" i="1"/>
  <c r="I123" i="1"/>
  <c r="M121" i="1"/>
  <c r="Q123" i="1"/>
  <c r="Q148" i="1"/>
  <c r="S120" i="1"/>
  <c r="P120" i="1" s="1"/>
  <c r="Q120" i="1" s="1"/>
  <c r="S142" i="1"/>
  <c r="P142" i="1" s="1"/>
  <c r="Q142" i="1" s="1"/>
  <c r="M140" i="1"/>
  <c r="Q121" i="1"/>
  <c r="I120" i="1"/>
  <c r="S141" i="1"/>
  <c r="P141" i="1" s="1"/>
  <c r="Q141" i="1" s="1"/>
  <c r="S139" i="1"/>
  <c r="P139" i="1" s="1"/>
  <c r="M141" i="1"/>
  <c r="P140" i="1"/>
  <c r="Q140" i="1" s="1"/>
  <c r="I140" i="1"/>
  <c r="M142" i="1"/>
  <c r="I142" i="1"/>
  <c r="E135" i="1"/>
  <c r="I135" i="1" s="1"/>
  <c r="P137" i="1"/>
  <c r="Q137" i="1" s="1"/>
  <c r="I141" i="1"/>
  <c r="S136" i="1"/>
  <c r="P136" i="1" s="1"/>
  <c r="Q136" i="1" s="1"/>
  <c r="G134" i="1"/>
  <c r="E134" i="1" s="1"/>
  <c r="M137" i="1"/>
  <c r="I137" i="1"/>
  <c r="I136" i="1"/>
  <c r="M136" i="1"/>
  <c r="H134" i="1"/>
  <c r="R134" i="1"/>
  <c r="P135" i="1"/>
  <c r="L134" i="1"/>
  <c r="N167" i="1"/>
  <c r="O167" i="1"/>
  <c r="N163" i="1"/>
  <c r="O163" i="1"/>
  <c r="J167" i="1"/>
  <c r="K167" i="1"/>
  <c r="F167" i="1"/>
  <c r="B170" i="1"/>
  <c r="B169" i="1"/>
  <c r="B168" i="1"/>
  <c r="C170" i="1"/>
  <c r="C169" i="1"/>
  <c r="C168" i="1"/>
  <c r="H169" i="1"/>
  <c r="L169" i="1"/>
  <c r="H170" i="1"/>
  <c r="L170" i="1"/>
  <c r="L168" i="1"/>
  <c r="H168" i="1"/>
  <c r="O162" i="1" l="1"/>
  <c r="M139" i="1"/>
  <c r="Q139" i="1"/>
  <c r="H167" i="1"/>
  <c r="E169" i="1"/>
  <c r="I169" i="1" s="1"/>
  <c r="S169" i="1"/>
  <c r="P169" i="1" s="1"/>
  <c r="E170" i="1"/>
  <c r="M170" i="1" s="1"/>
  <c r="S170" i="1"/>
  <c r="P170" i="1" s="1"/>
  <c r="E168" i="1"/>
  <c r="M168" i="1" s="1"/>
  <c r="S168" i="1"/>
  <c r="P168" i="1" s="1"/>
  <c r="Q135" i="1"/>
  <c r="M135" i="1"/>
  <c r="L167" i="1"/>
  <c r="S134" i="1"/>
  <c r="P134" i="1" s="1"/>
  <c r="Q134" i="1" s="1"/>
  <c r="L163" i="1"/>
  <c r="M134" i="1"/>
  <c r="I134" i="1"/>
  <c r="G167" i="1"/>
  <c r="R167" i="1"/>
  <c r="N162" i="1"/>
  <c r="G132" i="1"/>
  <c r="G131" i="1" s="1"/>
  <c r="R132" i="1"/>
  <c r="L132" i="1"/>
  <c r="H132" i="1"/>
  <c r="B132" i="1"/>
  <c r="C132" i="1"/>
  <c r="I170" i="1" l="1"/>
  <c r="I168" i="1"/>
  <c r="Q168" i="1"/>
  <c r="Q169" i="1"/>
  <c r="M169" i="1"/>
  <c r="Q170" i="1"/>
  <c r="E132" i="1"/>
  <c r="I132" i="1" s="1"/>
  <c r="L131" i="1"/>
  <c r="E167" i="1"/>
  <c r="S167" i="1"/>
  <c r="P167" i="1" s="1"/>
  <c r="S132" i="1"/>
  <c r="P132" i="1" s="1"/>
  <c r="Q132" i="1" s="1"/>
  <c r="S131" i="1"/>
  <c r="R131" i="1"/>
  <c r="H131" i="1"/>
  <c r="E131" i="1"/>
  <c r="F43" i="1"/>
  <c r="G89" i="1"/>
  <c r="S89" i="1" s="1"/>
  <c r="B89" i="1"/>
  <c r="C89" i="1"/>
  <c r="N88" i="1"/>
  <c r="O88" i="1"/>
  <c r="O42" i="1" s="1"/>
  <c r="J88" i="1"/>
  <c r="K88" i="1"/>
  <c r="K42" i="1" s="1"/>
  <c r="F88" i="1"/>
  <c r="R89" i="1"/>
  <c r="L89" i="1"/>
  <c r="H89" i="1"/>
  <c r="M132" i="1" l="1"/>
  <c r="Q167" i="1"/>
  <c r="M167" i="1"/>
  <c r="I167" i="1"/>
  <c r="P131" i="1"/>
  <c r="Q131" i="1" s="1"/>
  <c r="I131" i="1"/>
  <c r="G88" i="1"/>
  <c r="E88" i="1" s="1"/>
  <c r="E89" i="1"/>
  <c r="I89" i="1" s="1"/>
  <c r="H88" i="1"/>
  <c r="P89" i="1"/>
  <c r="R88" i="1"/>
  <c r="L88" i="1"/>
  <c r="Q89" i="1" l="1"/>
  <c r="S88" i="1"/>
  <c r="P88" i="1" s="1"/>
  <c r="Q88" i="1" s="1"/>
  <c r="M89" i="1"/>
  <c r="I88" i="1"/>
  <c r="M88" i="1"/>
  <c r="L162" i="1" l="1"/>
  <c r="J163" i="1"/>
  <c r="J162" i="1" s="1"/>
  <c r="H138" i="1" s="1"/>
  <c r="K163" i="1"/>
  <c r="K162" i="1" s="1"/>
  <c r="G166" i="1"/>
  <c r="E166" i="1" s="1"/>
  <c r="F165" i="1"/>
  <c r="R165" i="1" s="1"/>
  <c r="F164" i="1"/>
  <c r="C166" i="1"/>
  <c r="C165" i="1"/>
  <c r="C164" i="1"/>
  <c r="B166" i="1"/>
  <c r="B165" i="1"/>
  <c r="B164" i="1"/>
  <c r="H165" i="1"/>
  <c r="L165" i="1"/>
  <c r="S165" i="1"/>
  <c r="H166" i="1"/>
  <c r="L166" i="1"/>
  <c r="R166" i="1"/>
  <c r="L164" i="1"/>
  <c r="H164" i="1"/>
  <c r="S164" i="1"/>
  <c r="E165" i="1" l="1"/>
  <c r="M165" i="1" s="1"/>
  <c r="H163" i="1"/>
  <c r="P165" i="1"/>
  <c r="G163" i="1"/>
  <c r="G162" i="1" s="1"/>
  <c r="I165" i="1"/>
  <c r="F163" i="1"/>
  <c r="F162" i="1" s="1"/>
  <c r="E164" i="1"/>
  <c r="M164" i="1" s="1"/>
  <c r="R164" i="1"/>
  <c r="P164" i="1" s="1"/>
  <c r="H162" i="1"/>
  <c r="I166" i="1"/>
  <c r="M166" i="1"/>
  <c r="S166" i="1"/>
  <c r="P166" i="1" s="1"/>
  <c r="Q166" i="1" s="1"/>
  <c r="G92" i="1"/>
  <c r="E92" i="1" s="1"/>
  <c r="G91" i="1"/>
  <c r="C92" i="1"/>
  <c r="C91" i="1"/>
  <c r="B92" i="1"/>
  <c r="B91" i="1"/>
  <c r="H92" i="1"/>
  <c r="L92" i="1"/>
  <c r="R92" i="1"/>
  <c r="R91" i="1"/>
  <c r="L91" i="1"/>
  <c r="H91" i="1"/>
  <c r="E83" i="1"/>
  <c r="G82" i="1"/>
  <c r="E82" i="1" s="1"/>
  <c r="E81" i="1"/>
  <c r="G80" i="1"/>
  <c r="E80" i="1" s="1"/>
  <c r="G79" i="1"/>
  <c r="C83" i="1"/>
  <c r="C82" i="1"/>
  <c r="C81" i="1"/>
  <c r="C80" i="1"/>
  <c r="C79" i="1"/>
  <c r="L78" i="1"/>
  <c r="B83" i="1"/>
  <c r="B82" i="1"/>
  <c r="B81" i="1"/>
  <c r="B80" i="1"/>
  <c r="B79" i="1"/>
  <c r="H80" i="1"/>
  <c r="L80" i="1"/>
  <c r="R80" i="1"/>
  <c r="H81" i="1"/>
  <c r="L81" i="1"/>
  <c r="R81" i="1"/>
  <c r="H82" i="1"/>
  <c r="L82" i="1"/>
  <c r="R82" i="1"/>
  <c r="H83" i="1"/>
  <c r="L83" i="1"/>
  <c r="R83" i="1"/>
  <c r="R79" i="1"/>
  <c r="L79" i="1"/>
  <c r="H79" i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G69" i="1"/>
  <c r="S69" i="1" s="1"/>
  <c r="G68" i="1"/>
  <c r="E68" i="1" s="1"/>
  <c r="G67" i="1"/>
  <c r="E67" i="1" s="1"/>
  <c r="G66" i="1"/>
  <c r="E66" i="1" s="1"/>
  <c r="G65" i="1"/>
  <c r="E65" i="1" s="1"/>
  <c r="G64" i="1"/>
  <c r="E64" i="1" s="1"/>
  <c r="G63" i="1"/>
  <c r="E63" i="1" s="1"/>
  <c r="G62" i="1"/>
  <c r="E62" i="1" s="1"/>
  <c r="S61" i="1"/>
  <c r="G60" i="1"/>
  <c r="E60" i="1" s="1"/>
  <c r="G59" i="1"/>
  <c r="E59" i="1" s="1"/>
  <c r="G58" i="1"/>
  <c r="N57" i="1"/>
  <c r="J57" i="1"/>
  <c r="F57" i="1"/>
  <c r="F42" i="1" s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H59" i="1"/>
  <c r="L59" i="1"/>
  <c r="R59" i="1"/>
  <c r="H60" i="1"/>
  <c r="L60" i="1"/>
  <c r="R60" i="1"/>
  <c r="H61" i="1"/>
  <c r="L61" i="1"/>
  <c r="R61" i="1"/>
  <c r="H62" i="1"/>
  <c r="L62" i="1"/>
  <c r="R62" i="1"/>
  <c r="H63" i="1"/>
  <c r="L63" i="1"/>
  <c r="R63" i="1"/>
  <c r="H64" i="1"/>
  <c r="L64" i="1"/>
  <c r="R64" i="1"/>
  <c r="H65" i="1"/>
  <c r="L65" i="1"/>
  <c r="R65" i="1"/>
  <c r="H66" i="1"/>
  <c r="L66" i="1"/>
  <c r="R66" i="1"/>
  <c r="S66" i="1"/>
  <c r="H67" i="1"/>
  <c r="L67" i="1"/>
  <c r="R67" i="1"/>
  <c r="H68" i="1"/>
  <c r="L68" i="1"/>
  <c r="R68" i="1"/>
  <c r="H69" i="1"/>
  <c r="L69" i="1"/>
  <c r="R69" i="1"/>
  <c r="H70" i="1"/>
  <c r="L70" i="1"/>
  <c r="R70" i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R58" i="1"/>
  <c r="L58" i="1"/>
  <c r="H58" i="1"/>
  <c r="N43" i="1"/>
  <c r="J43" i="1"/>
  <c r="J42" i="1" s="1"/>
  <c r="G54" i="1"/>
  <c r="E54" i="1" s="1"/>
  <c r="G53" i="1"/>
  <c r="E53" i="1" s="1"/>
  <c r="G52" i="1"/>
  <c r="E52" i="1" s="1"/>
  <c r="S51" i="1"/>
  <c r="G50" i="1"/>
  <c r="E50" i="1" s="1"/>
  <c r="G49" i="1"/>
  <c r="E49" i="1" s="1"/>
  <c r="G48" i="1"/>
  <c r="E48" i="1" s="1"/>
  <c r="G47" i="1"/>
  <c r="S47" i="1" s="1"/>
  <c r="G46" i="1"/>
  <c r="E46" i="1" s="1"/>
  <c r="G45" i="1"/>
  <c r="G44" i="1"/>
  <c r="C54" i="1"/>
  <c r="C53" i="1"/>
  <c r="C52" i="1"/>
  <c r="C51" i="1"/>
  <c r="C50" i="1"/>
  <c r="C49" i="1"/>
  <c r="C48" i="1"/>
  <c r="C47" i="1"/>
  <c r="C46" i="1"/>
  <c r="C45" i="1"/>
  <c r="C44" i="1"/>
  <c r="B54" i="1"/>
  <c r="B53" i="1"/>
  <c r="B52" i="1"/>
  <c r="B51" i="1"/>
  <c r="B50" i="1"/>
  <c r="B49" i="1"/>
  <c r="B48" i="1"/>
  <c r="B47" i="1"/>
  <c r="B46" i="1"/>
  <c r="B45" i="1"/>
  <c r="B44" i="1"/>
  <c r="E45" i="1"/>
  <c r="H45" i="1"/>
  <c r="L45" i="1"/>
  <c r="R45" i="1"/>
  <c r="S45" i="1"/>
  <c r="H46" i="1"/>
  <c r="L46" i="1"/>
  <c r="R46" i="1"/>
  <c r="H47" i="1"/>
  <c r="L47" i="1"/>
  <c r="R47" i="1"/>
  <c r="H48" i="1"/>
  <c r="L48" i="1"/>
  <c r="R48" i="1"/>
  <c r="H49" i="1"/>
  <c r="L49" i="1"/>
  <c r="R49" i="1"/>
  <c r="H50" i="1"/>
  <c r="L50" i="1"/>
  <c r="R50" i="1"/>
  <c r="H51" i="1"/>
  <c r="L51" i="1"/>
  <c r="R51" i="1"/>
  <c r="H52" i="1"/>
  <c r="L52" i="1"/>
  <c r="R52" i="1"/>
  <c r="H53" i="1"/>
  <c r="L53" i="1"/>
  <c r="R53" i="1"/>
  <c r="H54" i="1"/>
  <c r="L54" i="1"/>
  <c r="R54" i="1"/>
  <c r="R44" i="1"/>
  <c r="L44" i="1"/>
  <c r="H44" i="1"/>
  <c r="K37" i="1"/>
  <c r="K33" i="1"/>
  <c r="K26" i="1"/>
  <c r="K17" i="1"/>
  <c r="G43" i="1" l="1"/>
  <c r="G78" i="1"/>
  <c r="E58" i="1"/>
  <c r="G57" i="1"/>
  <c r="S57" i="1" s="1"/>
  <c r="G90" i="1"/>
  <c r="S90" i="1" s="1"/>
  <c r="S44" i="1"/>
  <c r="N42" i="1"/>
  <c r="L42" i="1" s="1"/>
  <c r="S91" i="1"/>
  <c r="P91" i="1" s="1"/>
  <c r="S79" i="1"/>
  <c r="P79" i="1" s="1"/>
  <c r="Q165" i="1"/>
  <c r="I82" i="1"/>
  <c r="L90" i="1"/>
  <c r="S58" i="1"/>
  <c r="P58" i="1" s="1"/>
  <c r="E163" i="1"/>
  <c r="I163" i="1" s="1"/>
  <c r="S138" i="1"/>
  <c r="S163" i="1"/>
  <c r="R163" i="1"/>
  <c r="M81" i="1"/>
  <c r="Q164" i="1"/>
  <c r="I164" i="1"/>
  <c r="S92" i="1"/>
  <c r="P92" i="1" s="1"/>
  <c r="Q92" i="1" s="1"/>
  <c r="S74" i="1"/>
  <c r="P74" i="1" s="1"/>
  <c r="Q74" i="1" s="1"/>
  <c r="I92" i="1"/>
  <c r="S75" i="1"/>
  <c r="P75" i="1" s="1"/>
  <c r="Q75" i="1" s="1"/>
  <c r="S72" i="1"/>
  <c r="P72" i="1" s="1"/>
  <c r="Q72" i="1" s="1"/>
  <c r="S71" i="1"/>
  <c r="P71" i="1" s="1"/>
  <c r="Q71" i="1" s="1"/>
  <c r="S63" i="1"/>
  <c r="P63" i="1" s="1"/>
  <c r="Q63" i="1" s="1"/>
  <c r="S67" i="1"/>
  <c r="P67" i="1" s="1"/>
  <c r="Q67" i="1" s="1"/>
  <c r="S59" i="1"/>
  <c r="P59" i="1" s="1"/>
  <c r="Q59" i="1" s="1"/>
  <c r="S83" i="1"/>
  <c r="P83" i="1" s="1"/>
  <c r="Q83" i="1" s="1"/>
  <c r="S82" i="1"/>
  <c r="P82" i="1" s="1"/>
  <c r="Q82" i="1" s="1"/>
  <c r="M92" i="1"/>
  <c r="P45" i="1"/>
  <c r="Q45" i="1" s="1"/>
  <c r="P66" i="1"/>
  <c r="Q66" i="1" s="1"/>
  <c r="I73" i="1"/>
  <c r="I83" i="1"/>
  <c r="R90" i="1"/>
  <c r="H90" i="1"/>
  <c r="E91" i="1"/>
  <c r="I91" i="1" s="1"/>
  <c r="I81" i="1"/>
  <c r="I80" i="1"/>
  <c r="M80" i="1"/>
  <c r="S80" i="1"/>
  <c r="P80" i="1" s="1"/>
  <c r="Q80" i="1" s="1"/>
  <c r="M83" i="1"/>
  <c r="M82" i="1"/>
  <c r="S81" i="1"/>
  <c r="P81" i="1" s="1"/>
  <c r="Q81" i="1" s="1"/>
  <c r="E79" i="1"/>
  <c r="R78" i="1"/>
  <c r="E61" i="1"/>
  <c r="I61" i="1" s="1"/>
  <c r="M59" i="1"/>
  <c r="E47" i="1"/>
  <c r="I47" i="1" s="1"/>
  <c r="S73" i="1"/>
  <c r="P73" i="1" s="1"/>
  <c r="Q73" i="1" s="1"/>
  <c r="M53" i="1"/>
  <c r="M75" i="1"/>
  <c r="S68" i="1"/>
  <c r="P68" i="1" s="1"/>
  <c r="Q68" i="1" s="1"/>
  <c r="M63" i="1"/>
  <c r="M71" i="1"/>
  <c r="H78" i="1"/>
  <c r="M67" i="1"/>
  <c r="I65" i="1"/>
  <c r="P70" i="1"/>
  <c r="E69" i="1"/>
  <c r="I69" i="1" s="1"/>
  <c r="M76" i="1"/>
  <c r="S76" i="1"/>
  <c r="P76" i="1" s="1"/>
  <c r="Q76" i="1" s="1"/>
  <c r="S64" i="1"/>
  <c r="P64" i="1" s="1"/>
  <c r="Q64" i="1" s="1"/>
  <c r="S60" i="1"/>
  <c r="P60" i="1" s="1"/>
  <c r="Q60" i="1" s="1"/>
  <c r="E70" i="1"/>
  <c r="S62" i="1"/>
  <c r="P62" i="1" s="1"/>
  <c r="Q62" i="1" s="1"/>
  <c r="I59" i="1"/>
  <c r="I76" i="1"/>
  <c r="I75" i="1"/>
  <c r="M74" i="1"/>
  <c r="I74" i="1"/>
  <c r="M73" i="1"/>
  <c r="M72" i="1"/>
  <c r="I72" i="1"/>
  <c r="I71" i="1"/>
  <c r="P69" i="1"/>
  <c r="I68" i="1"/>
  <c r="M68" i="1"/>
  <c r="I67" i="1"/>
  <c r="I66" i="1"/>
  <c r="M66" i="1"/>
  <c r="S65" i="1"/>
  <c r="P65" i="1" s="1"/>
  <c r="Q65" i="1" s="1"/>
  <c r="M65" i="1"/>
  <c r="M64" i="1"/>
  <c r="I64" i="1"/>
  <c r="I63" i="1"/>
  <c r="M62" i="1"/>
  <c r="I62" i="1"/>
  <c r="P61" i="1"/>
  <c r="M60" i="1"/>
  <c r="I60" i="1"/>
  <c r="I58" i="1"/>
  <c r="M58" i="1"/>
  <c r="R57" i="1"/>
  <c r="S52" i="1"/>
  <c r="P52" i="1" s="1"/>
  <c r="Q52" i="1" s="1"/>
  <c r="E51" i="1"/>
  <c r="M51" i="1" s="1"/>
  <c r="L57" i="1"/>
  <c r="I45" i="1"/>
  <c r="S50" i="1"/>
  <c r="P50" i="1" s="1"/>
  <c r="Q50" i="1" s="1"/>
  <c r="S46" i="1"/>
  <c r="P46" i="1" s="1"/>
  <c r="Q46" i="1" s="1"/>
  <c r="M52" i="1"/>
  <c r="S53" i="1"/>
  <c r="P53" i="1" s="1"/>
  <c r="Q53" i="1" s="1"/>
  <c r="S49" i="1"/>
  <c r="P49" i="1" s="1"/>
  <c r="Q49" i="1" s="1"/>
  <c r="S48" i="1"/>
  <c r="P48" i="1" s="1"/>
  <c r="Q48" i="1" s="1"/>
  <c r="H57" i="1"/>
  <c r="M45" i="1"/>
  <c r="S54" i="1"/>
  <c r="P54" i="1" s="1"/>
  <c r="Q54" i="1" s="1"/>
  <c r="M54" i="1"/>
  <c r="I54" i="1"/>
  <c r="I53" i="1"/>
  <c r="I52" i="1"/>
  <c r="P51" i="1"/>
  <c r="I50" i="1"/>
  <c r="M50" i="1"/>
  <c r="I49" i="1"/>
  <c r="M49" i="1"/>
  <c r="M48" i="1"/>
  <c r="I48" i="1"/>
  <c r="P47" i="1"/>
  <c r="I46" i="1"/>
  <c r="M46" i="1"/>
  <c r="P44" i="1"/>
  <c r="L43" i="1"/>
  <c r="H43" i="1"/>
  <c r="E44" i="1"/>
  <c r="R43" i="1"/>
  <c r="Q58" i="1" l="1"/>
  <c r="G42" i="1"/>
  <c r="R42" i="1"/>
  <c r="E78" i="1"/>
  <c r="I78" i="1" s="1"/>
  <c r="H42" i="1"/>
  <c r="P163" i="1"/>
  <c r="Q163" i="1" s="1"/>
  <c r="M163" i="1"/>
  <c r="R162" i="1"/>
  <c r="E162" i="1"/>
  <c r="I162" i="1" s="1"/>
  <c r="S162" i="1"/>
  <c r="S78" i="1"/>
  <c r="P78" i="1" s="1"/>
  <c r="M91" i="1"/>
  <c r="Q91" i="1"/>
  <c r="Q47" i="1"/>
  <c r="M47" i="1"/>
  <c r="E90" i="1"/>
  <c r="M90" i="1" s="1"/>
  <c r="P90" i="1"/>
  <c r="Q61" i="1"/>
  <c r="Q79" i="1"/>
  <c r="M79" i="1"/>
  <c r="I79" i="1"/>
  <c r="Q69" i="1"/>
  <c r="M61" i="1"/>
  <c r="M69" i="1"/>
  <c r="Q70" i="1"/>
  <c r="I70" i="1"/>
  <c r="M70" i="1"/>
  <c r="P57" i="1"/>
  <c r="Q51" i="1"/>
  <c r="I51" i="1"/>
  <c r="E57" i="1"/>
  <c r="I57" i="1" s="1"/>
  <c r="M44" i="1"/>
  <c r="I44" i="1"/>
  <c r="S43" i="1"/>
  <c r="P43" i="1" s="1"/>
  <c r="E43" i="1"/>
  <c r="M43" i="1" s="1"/>
  <c r="Q44" i="1"/>
  <c r="J39" i="1"/>
  <c r="N39" i="1"/>
  <c r="N37" i="1"/>
  <c r="O37" i="1"/>
  <c r="J37" i="1"/>
  <c r="F37" i="1"/>
  <c r="G40" i="1"/>
  <c r="G39" i="1" s="1"/>
  <c r="R40" i="1"/>
  <c r="L40" i="1"/>
  <c r="C40" i="1"/>
  <c r="B40" i="1"/>
  <c r="F39" i="1"/>
  <c r="G38" i="1"/>
  <c r="G37" i="1" s="1"/>
  <c r="C38" i="1"/>
  <c r="B38" i="1"/>
  <c r="Q78" i="1" l="1"/>
  <c r="M78" i="1"/>
  <c r="E138" i="1"/>
  <c r="P162" i="1"/>
  <c r="Q162" i="1" s="1"/>
  <c r="Q90" i="1"/>
  <c r="I90" i="1"/>
  <c r="I43" i="1"/>
  <c r="L39" i="1"/>
  <c r="Q43" i="1"/>
  <c r="M57" i="1"/>
  <c r="Q57" i="1"/>
  <c r="E42" i="1"/>
  <c r="I42" i="1" s="1"/>
  <c r="S42" i="1"/>
  <c r="P42" i="1" s="1"/>
  <c r="R39" i="1"/>
  <c r="E40" i="1"/>
  <c r="R38" i="1"/>
  <c r="L38" i="1"/>
  <c r="H38" i="1"/>
  <c r="S38" i="1"/>
  <c r="N33" i="1"/>
  <c r="O33" i="1"/>
  <c r="J33" i="1"/>
  <c r="F33" i="1"/>
  <c r="G36" i="1"/>
  <c r="S36" i="1" s="1"/>
  <c r="G35" i="1"/>
  <c r="E35" i="1" s="1"/>
  <c r="G34" i="1"/>
  <c r="C36" i="1"/>
  <c r="C35" i="1"/>
  <c r="C34" i="1"/>
  <c r="H36" i="1"/>
  <c r="R36" i="1"/>
  <c r="B36" i="1"/>
  <c r="B35" i="1"/>
  <c r="B34" i="1"/>
  <c r="H35" i="1"/>
  <c r="L35" i="1"/>
  <c r="R35" i="1"/>
  <c r="R34" i="1"/>
  <c r="L34" i="1"/>
  <c r="H34" i="1"/>
  <c r="I138" i="1" l="1"/>
  <c r="Q42" i="1"/>
  <c r="M35" i="1"/>
  <c r="S35" i="1"/>
  <c r="P35" i="1" s="1"/>
  <c r="Q35" i="1" s="1"/>
  <c r="E36" i="1"/>
  <c r="M36" i="1" s="1"/>
  <c r="M40" i="1"/>
  <c r="E39" i="1"/>
  <c r="S34" i="1"/>
  <c r="P34" i="1" s="1"/>
  <c r="G33" i="1"/>
  <c r="S33" i="1" s="1"/>
  <c r="I35" i="1"/>
  <c r="P36" i="1"/>
  <c r="P38" i="1"/>
  <c r="R37" i="1"/>
  <c r="L37" i="1"/>
  <c r="H37" i="1"/>
  <c r="E38" i="1"/>
  <c r="I38" i="1" s="1"/>
  <c r="R33" i="1"/>
  <c r="L33" i="1"/>
  <c r="H33" i="1"/>
  <c r="E34" i="1"/>
  <c r="M34" i="1" s="1"/>
  <c r="G27" i="1"/>
  <c r="R28" i="1"/>
  <c r="R29" i="1"/>
  <c r="R30" i="1"/>
  <c r="R31" i="1"/>
  <c r="R32" i="1"/>
  <c r="R27" i="1"/>
  <c r="L27" i="1"/>
  <c r="H27" i="1"/>
  <c r="G32" i="1"/>
  <c r="E32" i="1" s="1"/>
  <c r="S31" i="1"/>
  <c r="S30" i="1"/>
  <c r="P30" i="1" s="1"/>
  <c r="S29" i="1"/>
  <c r="S28" i="1"/>
  <c r="P28" i="1" s="1"/>
  <c r="C32" i="1"/>
  <c r="C31" i="1"/>
  <c r="C30" i="1"/>
  <c r="C29" i="1"/>
  <c r="C28" i="1"/>
  <c r="C27" i="1"/>
  <c r="H32" i="1"/>
  <c r="L32" i="1"/>
  <c r="B32" i="1"/>
  <c r="B31" i="1"/>
  <c r="B30" i="1"/>
  <c r="B29" i="1"/>
  <c r="B28" i="1"/>
  <c r="B27" i="1"/>
  <c r="H28" i="1"/>
  <c r="L28" i="1"/>
  <c r="H29" i="1"/>
  <c r="L29" i="1"/>
  <c r="H30" i="1"/>
  <c r="L30" i="1"/>
  <c r="H31" i="1"/>
  <c r="L31" i="1"/>
  <c r="O26" i="1"/>
  <c r="O17" i="1" s="1"/>
  <c r="N26" i="1"/>
  <c r="J26" i="1"/>
  <c r="J17" i="1" s="1"/>
  <c r="F26" i="1"/>
  <c r="F17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G18" i="1"/>
  <c r="S18" i="1" s="1"/>
  <c r="C25" i="1"/>
  <c r="C24" i="1"/>
  <c r="C23" i="1"/>
  <c r="C22" i="1"/>
  <c r="C21" i="1"/>
  <c r="C20" i="1"/>
  <c r="C19" i="1"/>
  <c r="C18" i="1"/>
  <c r="B25" i="1"/>
  <c r="B24" i="1"/>
  <c r="B23" i="1"/>
  <c r="B22" i="1"/>
  <c r="B21" i="1"/>
  <c r="B20" i="1"/>
  <c r="B19" i="1"/>
  <c r="B18" i="1"/>
  <c r="H24" i="1"/>
  <c r="L24" i="1"/>
  <c r="R24" i="1"/>
  <c r="H25" i="1"/>
  <c r="L25" i="1"/>
  <c r="R25" i="1"/>
  <c r="E19" i="1"/>
  <c r="H19" i="1"/>
  <c r="L19" i="1"/>
  <c r="R19" i="1"/>
  <c r="S19" i="1"/>
  <c r="H20" i="1"/>
  <c r="L20" i="1"/>
  <c r="R20" i="1"/>
  <c r="H21" i="1"/>
  <c r="L21" i="1"/>
  <c r="R21" i="1"/>
  <c r="H22" i="1"/>
  <c r="L22" i="1"/>
  <c r="R22" i="1"/>
  <c r="H23" i="1"/>
  <c r="L23" i="1"/>
  <c r="R23" i="1"/>
  <c r="R18" i="1"/>
  <c r="L18" i="1"/>
  <c r="H18" i="1"/>
  <c r="N6" i="1"/>
  <c r="O6" i="1"/>
  <c r="J6" i="1"/>
  <c r="F6" i="1"/>
  <c r="G15" i="1"/>
  <c r="E14" i="1"/>
  <c r="G13" i="1"/>
  <c r="E13" i="1" s="1"/>
  <c r="G12" i="1"/>
  <c r="E12" i="1" s="1"/>
  <c r="G11" i="1"/>
  <c r="E11" i="1" s="1"/>
  <c r="G10" i="1"/>
  <c r="E10" i="1" s="1"/>
  <c r="G9" i="1"/>
  <c r="E9" i="1" s="1"/>
  <c r="G8" i="1"/>
  <c r="E8" i="1" s="1"/>
  <c r="H8" i="1"/>
  <c r="L8" i="1"/>
  <c r="R8" i="1"/>
  <c r="H9" i="1"/>
  <c r="L9" i="1"/>
  <c r="R9" i="1"/>
  <c r="H10" i="1"/>
  <c r="L10" i="1"/>
  <c r="R10" i="1"/>
  <c r="L11" i="1"/>
  <c r="R11" i="1"/>
  <c r="H12" i="1"/>
  <c r="L12" i="1"/>
  <c r="R12" i="1"/>
  <c r="H13" i="1"/>
  <c r="L13" i="1"/>
  <c r="R13" i="1"/>
  <c r="H14" i="1"/>
  <c r="L14" i="1"/>
  <c r="R14" i="1"/>
  <c r="H15" i="1"/>
  <c r="L15" i="1"/>
  <c r="R15" i="1"/>
  <c r="C15" i="1"/>
  <c r="C14" i="1"/>
  <c r="C13" i="1"/>
  <c r="C12" i="1"/>
  <c r="C11" i="1"/>
  <c r="C10" i="1"/>
  <c r="C9" i="1"/>
  <c r="C8" i="1"/>
  <c r="C7" i="1"/>
  <c r="B15" i="1"/>
  <c r="B14" i="1"/>
  <c r="B13" i="1"/>
  <c r="B12" i="1"/>
  <c r="B11" i="1"/>
  <c r="B10" i="1"/>
  <c r="B9" i="1"/>
  <c r="B8" i="1"/>
  <c r="B7" i="1"/>
  <c r="G7" i="1"/>
  <c r="F5" i="1" l="1"/>
  <c r="F4" i="1" s="1"/>
  <c r="E15" i="1"/>
  <c r="I15" i="1" s="1"/>
  <c r="G6" i="1"/>
  <c r="S6" i="1" s="1"/>
  <c r="Q36" i="1"/>
  <c r="E33" i="1"/>
  <c r="M33" i="1" s="1"/>
  <c r="O5" i="1"/>
  <c r="O4" i="1" s="1"/>
  <c r="J5" i="1"/>
  <c r="J4" i="1" s="1"/>
  <c r="I36" i="1"/>
  <c r="M39" i="1"/>
  <c r="S10" i="1"/>
  <c r="P10" i="1" s="1"/>
  <c r="Q10" i="1" s="1"/>
  <c r="S22" i="1"/>
  <c r="P22" i="1" s="1"/>
  <c r="Q22" i="1" s="1"/>
  <c r="S23" i="1"/>
  <c r="P23" i="1" s="1"/>
  <c r="Q23" i="1" s="1"/>
  <c r="S20" i="1"/>
  <c r="P20" i="1" s="1"/>
  <c r="Q20" i="1" s="1"/>
  <c r="E18" i="1"/>
  <c r="I18" i="1" s="1"/>
  <c r="G17" i="1"/>
  <c r="S17" i="1" s="1"/>
  <c r="E30" i="1"/>
  <c r="I30" i="1" s="1"/>
  <c r="S27" i="1"/>
  <c r="P27" i="1" s="1"/>
  <c r="G26" i="1"/>
  <c r="S26" i="1" s="1"/>
  <c r="E31" i="1"/>
  <c r="M31" i="1" s="1"/>
  <c r="S12" i="1"/>
  <c r="P12" i="1" s="1"/>
  <c r="Q12" i="1" s="1"/>
  <c r="S25" i="1"/>
  <c r="P25" i="1" s="1"/>
  <c r="Q25" i="1" s="1"/>
  <c r="S11" i="1"/>
  <c r="P11" i="1" s="1"/>
  <c r="Q11" i="1" s="1"/>
  <c r="E28" i="1"/>
  <c r="Q28" i="1" s="1"/>
  <c r="I21" i="1"/>
  <c r="R6" i="1"/>
  <c r="L6" i="1"/>
  <c r="S21" i="1"/>
  <c r="P21" i="1" s="1"/>
  <c r="Q21" i="1" s="1"/>
  <c r="E29" i="1"/>
  <c r="I29" i="1" s="1"/>
  <c r="P31" i="1"/>
  <c r="Q38" i="1"/>
  <c r="S37" i="1"/>
  <c r="P37" i="1" s="1"/>
  <c r="E37" i="1"/>
  <c r="M37" i="1" s="1"/>
  <c r="M38" i="1"/>
  <c r="L26" i="1"/>
  <c r="P33" i="1"/>
  <c r="I34" i="1"/>
  <c r="Q34" i="1"/>
  <c r="N17" i="1"/>
  <c r="M32" i="1"/>
  <c r="P29" i="1"/>
  <c r="H6" i="1"/>
  <c r="S32" i="1"/>
  <c r="P32" i="1" s="1"/>
  <c r="Q32" i="1" s="1"/>
  <c r="P19" i="1"/>
  <c r="Q19" i="1" s="1"/>
  <c r="E27" i="1"/>
  <c r="M27" i="1" s="1"/>
  <c r="I32" i="1"/>
  <c r="R26" i="1"/>
  <c r="H26" i="1"/>
  <c r="I22" i="1"/>
  <c r="I20" i="1"/>
  <c r="M25" i="1"/>
  <c r="S24" i="1"/>
  <c r="P24" i="1" s="1"/>
  <c r="Q24" i="1" s="1"/>
  <c r="I24" i="1"/>
  <c r="M21" i="1"/>
  <c r="I25" i="1"/>
  <c r="M24" i="1"/>
  <c r="I8" i="1"/>
  <c r="M23" i="1"/>
  <c r="M9" i="1"/>
  <c r="M20" i="1"/>
  <c r="M22" i="1"/>
  <c r="M19" i="1"/>
  <c r="P18" i="1"/>
  <c r="I23" i="1"/>
  <c r="I19" i="1"/>
  <c r="H17" i="1"/>
  <c r="S15" i="1"/>
  <c r="P15" i="1" s="1"/>
  <c r="S13" i="1"/>
  <c r="P13" i="1" s="1"/>
  <c r="Q13" i="1" s="1"/>
  <c r="P14" i="1"/>
  <c r="Q14" i="1" s="1"/>
  <c r="S9" i="1"/>
  <c r="P9" i="1" s="1"/>
  <c r="Q9" i="1" s="1"/>
  <c r="S8" i="1"/>
  <c r="P8" i="1" s="1"/>
  <c r="Q8" i="1" s="1"/>
  <c r="I11" i="1"/>
  <c r="M11" i="1"/>
  <c r="M14" i="1"/>
  <c r="I14" i="1"/>
  <c r="M10" i="1"/>
  <c r="I10" i="1"/>
  <c r="I9" i="1"/>
  <c r="M8" i="1"/>
  <c r="I13" i="1"/>
  <c r="M13" i="1"/>
  <c r="M12" i="1"/>
  <c r="I12" i="1"/>
  <c r="J4" i="14"/>
  <c r="K4" i="14"/>
  <c r="F4" i="14"/>
  <c r="E7" i="14"/>
  <c r="H7" i="14"/>
  <c r="L7" i="14"/>
  <c r="R7" i="14"/>
  <c r="S7" i="14"/>
  <c r="C7" i="14"/>
  <c r="C6" i="14"/>
  <c r="B7" i="14"/>
  <c r="B6" i="14"/>
  <c r="C5" i="14"/>
  <c r="B5" i="14"/>
  <c r="C7" i="16"/>
  <c r="C6" i="16"/>
  <c r="B7" i="16"/>
  <c r="B6" i="16"/>
  <c r="E6" i="16"/>
  <c r="I6" i="16" s="1"/>
  <c r="H6" i="16"/>
  <c r="L6" i="16"/>
  <c r="R6" i="16"/>
  <c r="S6" i="16"/>
  <c r="E7" i="16"/>
  <c r="M7" i="16" s="1"/>
  <c r="H7" i="16"/>
  <c r="L7" i="16"/>
  <c r="R7" i="16"/>
  <c r="S7" i="16"/>
  <c r="P7" i="16" l="1"/>
  <c r="Q7" i="16" s="1"/>
  <c r="J17" i="22"/>
  <c r="M15" i="1"/>
  <c r="O17" i="22"/>
  <c r="Q15" i="1"/>
  <c r="F17" i="22"/>
  <c r="I33" i="1"/>
  <c r="Q33" i="1"/>
  <c r="Q30" i="1"/>
  <c r="I31" i="1"/>
  <c r="M18" i="1"/>
  <c r="E26" i="1"/>
  <c r="M26" i="1" s="1"/>
  <c r="M30" i="1"/>
  <c r="P6" i="1"/>
  <c r="Q18" i="1"/>
  <c r="I37" i="1"/>
  <c r="M29" i="1"/>
  <c r="Q31" i="1"/>
  <c r="G5" i="1"/>
  <c r="G4" i="1" s="1"/>
  <c r="R17" i="1"/>
  <c r="P17" i="1" s="1"/>
  <c r="N5" i="1"/>
  <c r="N4" i="1" s="1"/>
  <c r="I28" i="1"/>
  <c r="M28" i="1"/>
  <c r="I27" i="1"/>
  <c r="Q29" i="1"/>
  <c r="Q37" i="1"/>
  <c r="L17" i="1"/>
  <c r="E17" i="1"/>
  <c r="Q27" i="1"/>
  <c r="P26" i="1"/>
  <c r="E6" i="1"/>
  <c r="M6" i="1" s="1"/>
  <c r="G4" i="14"/>
  <c r="M7" i="14"/>
  <c r="P7" i="14"/>
  <c r="Q7" i="14" s="1"/>
  <c r="I7" i="14"/>
  <c r="P6" i="16"/>
  <c r="Q6" i="16" s="1"/>
  <c r="I7" i="16"/>
  <c r="M6" i="16"/>
  <c r="N17" i="22" l="1"/>
  <c r="G17" i="22"/>
  <c r="I26" i="1"/>
  <c r="Q26" i="1"/>
  <c r="M17" i="1"/>
  <c r="Q17" i="1"/>
  <c r="I17" i="1"/>
  <c r="Q6" i="1"/>
  <c r="I6" i="1"/>
  <c r="R6" i="20"/>
  <c r="L6" i="20"/>
  <c r="H6" i="20"/>
  <c r="E6" i="20"/>
  <c r="B6" i="20"/>
  <c r="R5" i="20"/>
  <c r="L5" i="20"/>
  <c r="H5" i="20"/>
  <c r="E5" i="20"/>
  <c r="B5" i="20"/>
  <c r="O4" i="20"/>
  <c r="K4" i="20"/>
  <c r="L4" i="20" l="1"/>
  <c r="H4" i="20"/>
  <c r="G4" i="20"/>
  <c r="I6" i="20"/>
  <c r="M6" i="20"/>
  <c r="I5" i="20"/>
  <c r="M5" i="20"/>
  <c r="S5" i="20"/>
  <c r="P5" i="20" s="1"/>
  <c r="Q5" i="20" s="1"/>
  <c r="S6" i="20"/>
  <c r="P6" i="20" s="1"/>
  <c r="Q6" i="20" s="1"/>
  <c r="R4" i="20"/>
  <c r="E4" i="20" l="1"/>
  <c r="S4" i="20"/>
  <c r="I4" i="20" l="1"/>
  <c r="P4" i="20"/>
  <c r="M4" i="20"/>
  <c r="R6" i="19"/>
  <c r="L6" i="19"/>
  <c r="H6" i="19"/>
  <c r="E6" i="19"/>
  <c r="C6" i="19"/>
  <c r="B6" i="19"/>
  <c r="L4" i="19" l="1"/>
  <c r="I6" i="19"/>
  <c r="M6" i="19"/>
  <c r="U4" i="20"/>
  <c r="Q4" i="20"/>
  <c r="T4" i="20" s="1"/>
  <c r="S4" i="19"/>
  <c r="H4" i="19"/>
  <c r="R4" i="19"/>
  <c r="S6" i="19"/>
  <c r="P6" i="19" s="1"/>
  <c r="Q6" i="19" s="1"/>
  <c r="P4" i="19" l="1"/>
  <c r="M4" i="19"/>
  <c r="I4" i="19"/>
  <c r="U4" i="19" l="1"/>
  <c r="Q4" i="19"/>
  <c r="T4" i="19" s="1"/>
  <c r="E7" i="1" l="1"/>
  <c r="L7" i="1"/>
  <c r="H7" i="1"/>
  <c r="S7" i="1"/>
  <c r="R7" i="1" l="1"/>
  <c r="P7" i="1" s="1"/>
  <c r="Q7" i="1" s="1"/>
  <c r="I7" i="1"/>
  <c r="M7" i="1"/>
  <c r="O4" i="16" l="1"/>
  <c r="K4" i="16"/>
  <c r="C5" i="16"/>
  <c r="B5" i="16"/>
  <c r="R5" i="16"/>
  <c r="L5" i="16"/>
  <c r="H5" i="16"/>
  <c r="E5" i="16"/>
  <c r="N4" i="16"/>
  <c r="J4" i="16"/>
  <c r="F4" i="16"/>
  <c r="L4" i="16" l="1"/>
  <c r="G4" i="16"/>
  <c r="E4" i="16" s="1"/>
  <c r="S5" i="16"/>
  <c r="P5" i="16" s="1"/>
  <c r="Q5" i="16" s="1"/>
  <c r="I5" i="16"/>
  <c r="H4" i="16"/>
  <c r="M5" i="16"/>
  <c r="R4" i="16"/>
  <c r="M4" i="16" l="1"/>
  <c r="S4" i="16"/>
  <c r="P4" i="16"/>
  <c r="Q4" i="16" s="1"/>
  <c r="I4" i="16"/>
  <c r="T4" i="16" l="1"/>
  <c r="N4" i="14" l="1"/>
  <c r="O4" i="14"/>
  <c r="R6" i="14"/>
  <c r="R5" i="14"/>
  <c r="H6" i="14"/>
  <c r="L6" i="14"/>
  <c r="S6" i="14"/>
  <c r="L5" i="14"/>
  <c r="H5" i="14"/>
  <c r="S5" i="14"/>
  <c r="R4" i="14" l="1"/>
  <c r="E5" i="14"/>
  <c r="I5" i="14" s="1"/>
  <c r="E6" i="14"/>
  <c r="M6" i="14" s="1"/>
  <c r="P5" i="14"/>
  <c r="P6" i="14"/>
  <c r="H4" i="14"/>
  <c r="L4" i="14"/>
  <c r="M5" i="14" l="1"/>
  <c r="I6" i="14"/>
  <c r="Q5" i="14"/>
  <c r="E5" i="1"/>
  <c r="Q6" i="14"/>
  <c r="S4" i="14"/>
  <c r="E4" i="14"/>
  <c r="M4" i="14" s="1"/>
  <c r="P4" i="14" l="1"/>
  <c r="Q4" i="14" s="1"/>
  <c r="I4" i="14"/>
  <c r="T4" i="14" l="1"/>
  <c r="L5" i="1"/>
  <c r="R5" i="1"/>
  <c r="T9" i="1" l="1"/>
  <c r="T26" i="1"/>
  <c r="E4" i="1" l="1"/>
  <c r="E17" i="22" l="1"/>
  <c r="R4" i="1" l="1"/>
  <c r="R17" i="22" l="1"/>
  <c r="L4" i="1" l="1"/>
  <c r="L17" i="22" l="1"/>
  <c r="M4" i="1"/>
  <c r="M17" i="22" l="1"/>
  <c r="R138" i="1"/>
  <c r="P138" i="1" s="1"/>
  <c r="Q138" i="1" s="1"/>
  <c r="L138" i="1"/>
  <c r="M138" i="1" s="1"/>
  <c r="H40" i="1"/>
  <c r="I40" i="1" s="1"/>
  <c r="S40" i="1"/>
  <c r="P40" i="1" s="1"/>
  <c r="Q40" i="1" s="1"/>
  <c r="K39" i="1"/>
  <c r="H39" i="1" s="1"/>
  <c r="I39" i="1" s="1"/>
  <c r="K5" i="1" l="1"/>
  <c r="S39" i="1"/>
  <c r="P39" i="1" s="1"/>
  <c r="Q39" i="1" s="1"/>
  <c r="K4" i="1" l="1"/>
  <c r="H4" i="1" s="1"/>
  <c r="H5" i="1"/>
  <c r="I5" i="1" s="1"/>
  <c r="S5" i="1"/>
  <c r="P5" i="1" s="1"/>
  <c r="Q5" i="1" s="1"/>
  <c r="T5" i="1" l="1"/>
  <c r="K17" i="22"/>
  <c r="S4" i="1"/>
  <c r="I4" i="1"/>
  <c r="P4" i="1"/>
  <c r="H17" i="22"/>
  <c r="S17" i="22" l="1"/>
  <c r="I17" i="22"/>
  <c r="T3" i="1"/>
  <c r="Q4" i="1"/>
  <c r="T4" i="1" s="1"/>
  <c r="P17" i="22"/>
  <c r="Q17" i="22" s="1"/>
  <c r="G5" i="21" l="1"/>
  <c r="G4" i="21" s="1"/>
  <c r="S5" i="21" l="1"/>
  <c r="P5" i="21" s="1"/>
  <c r="E5" i="21"/>
  <c r="M5" i="21" l="1"/>
  <c r="I5" i="21"/>
  <c r="Q5" i="21"/>
  <c r="S4" i="21"/>
  <c r="E4" i="21"/>
  <c r="M4" i="21" l="1"/>
  <c r="P4" i="21"/>
  <c r="I4" i="21"/>
  <c r="Q4" i="21" l="1"/>
  <c r="T4" i="21" s="1"/>
  <c r="U4" i="21"/>
</calcChain>
</file>

<file path=xl/sharedStrings.xml><?xml version="1.0" encoding="utf-8"?>
<sst xmlns="http://schemas.openxmlformats.org/spreadsheetml/2006/main" count="431" uniqueCount="93">
  <si>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</si>
  <si>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</si>
  <si>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</si>
  <si>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</si>
  <si>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</si>
  <si>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</si>
  <si>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</si>
  <si>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</si>
  <si>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</si>
  <si>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</si>
  <si>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</si>
  <si>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</si>
  <si>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</si>
  <si>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</si>
  <si>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</si>
  <si>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รหัส</t>
  </si>
  <si>
    <t>งบประมาณ</t>
  </si>
  <si>
    <t>สำนักงานชลประทานที่ 2</t>
  </si>
  <si>
    <t>10สค.61</t>
  </si>
  <si>
    <t>โครงการอันเนื่องมาจากพระราชดำริ  38015</t>
  </si>
  <si>
    <t>13กย.61</t>
  </si>
  <si>
    <t>ผลผลิตที่ ส่งเสริมการดำเนินงานอันเนื่องมาจากพระราชดำริ (40084)</t>
  </si>
  <si>
    <t>ซ่อมแซมจังหวัดลำปาง</t>
  </si>
  <si>
    <t>18ตค.61</t>
  </si>
  <si>
    <t>ซ่อมแซมจังหวัดพะเยา</t>
  </si>
  <si>
    <t>ซ่อมแซมจังหวัดน่าน</t>
  </si>
  <si>
    <t>ปรับปรุงจังหวัดลำปาง</t>
  </si>
  <si>
    <t>ปรับปรุงจังหวัดพะเยา</t>
  </si>
  <si>
    <t>ผลผลิตที่ โครงการปรับปรุงงานชลประทาน  (49052)</t>
  </si>
  <si>
    <t>16ตค.61</t>
  </si>
  <si>
    <t>ปรับปรุงลำปางจังหวัดลำปาง</t>
  </si>
  <si>
    <t>ผลผลิตที่ โครงการป้องกันละบรรเทาภัยจากน้ำ  (49054)</t>
  </si>
  <si>
    <t>12ตค.61</t>
  </si>
  <si>
    <t>ซ่อมแซมจังหวัดเชียงราย</t>
  </si>
  <si>
    <t>ผลผลิตที่ โครงการจัดหาแหล่งน้ำและเพิ่มพื้นที่ชลประทาน  (49053)</t>
  </si>
  <si>
    <t>17ตค.61</t>
  </si>
  <si>
    <t>เขื่อนแม่สรวย จ.เชียงราย</t>
  </si>
  <si>
    <t>จังหวัดลำปาง</t>
  </si>
  <si>
    <t>ค่าสำรวจแผนที่ภูมิประเทศ</t>
  </si>
  <si>
    <t>ค่าสำรวจธรณีและปฐพีวิทยา</t>
  </si>
  <si>
    <t>22 ตค.61</t>
  </si>
  <si>
    <t>ค่าศึกษา สำรวจ ออกแบบ</t>
  </si>
  <si>
    <t>22ตค.61</t>
  </si>
  <si>
    <t>ค่ารังวัดและออกหนังสือสำคัญที่หลวง</t>
  </si>
  <si>
    <t>28ตค.61</t>
  </si>
  <si>
    <t>19ตค.61</t>
  </si>
  <si>
    <t>ค่าใช้จ่ายในการบริหารที่ดิน</t>
  </si>
  <si>
    <t>29ตค.61</t>
  </si>
  <si>
    <t>ผลผลิตที่ โครงการบริหารจัดการทรัพยากรธรรมชาติและสิ่งแวดล้อมภาคเหนือ   (280A5)</t>
  </si>
  <si>
    <t>5พย.61</t>
  </si>
  <si>
    <t>13 พย.61</t>
  </si>
  <si>
    <t>21พย.61</t>
  </si>
  <si>
    <t>7ธค.61</t>
  </si>
  <si>
    <t>ผลผลิตที่ การจัดการน้ำชลประทาน   (56001)</t>
  </si>
  <si>
    <t>13 ธค.61</t>
  </si>
  <si>
    <t>โครงการติดตามผลกระทบแผ่นดินไหว</t>
  </si>
  <si>
    <t>7 ธค.61</t>
  </si>
  <si>
    <t>18 ธค.61</t>
  </si>
  <si>
    <t>โอนกลับส่วนกลาง</t>
  </si>
  <si>
    <t>ปรับปรุงจังหวัดน่าน</t>
  </si>
  <si>
    <t>26ธค.61</t>
  </si>
  <si>
    <t>26 ธค.61</t>
  </si>
  <si>
    <t>27ธค.61</t>
  </si>
  <si>
    <t>2มค.62</t>
  </si>
  <si>
    <t>3มค.62</t>
  </si>
  <si>
    <t>2 มค.62</t>
  </si>
  <si>
    <t>น่าน</t>
  </si>
  <si>
    <t>4 มค.62</t>
  </si>
  <si>
    <t>จังหวัดน่าน</t>
  </si>
  <si>
    <t>ค่าบำรุงรักษาเครื่องมือวัดพฤติกรรมเขื่อน</t>
  </si>
  <si>
    <t>17มค.62</t>
  </si>
  <si>
    <t>18มค.62</t>
  </si>
  <si>
    <t>ปรับปรุงจังหวัดเชียงราย</t>
  </si>
  <si>
    <t>7กพ.62</t>
  </si>
  <si>
    <t>4กพ.62</t>
  </si>
  <si>
    <t>20กพ.62</t>
  </si>
  <si>
    <t>11กพ.62</t>
  </si>
  <si>
    <t>1 มีค.62</t>
  </si>
  <si>
    <t>ผลผลิตที่ โครงการอ่างเก็บน้ำน้ำปี้อันเนื่องมาจากพระราชดำริ (49056)</t>
  </si>
  <si>
    <t>25 มีค.62</t>
  </si>
  <si>
    <t>โครงการอันเนื่องมาจากพระราชดำริ  40015</t>
  </si>
  <si>
    <t>โครงการปรับปรุงคลองผันน้ำร่องสักและโครงการก่อสร้างฝายร่องขุยพร้อมระบบส่งน้ำอันเนื่องมาจากพระราชดำริ อ.ดอกคำใต้ จ.พะเยา</t>
  </si>
  <si>
    <t>2 เมย .62</t>
  </si>
  <si>
    <t>9 เมย.62</t>
  </si>
  <si>
    <t>9เมย.62</t>
  </si>
  <si>
    <t>รายงานผลการเบิกจ่าย เงินงบประมาณ 2562   สำนักงานชลประทานที่ 2  ข้อมูลถึงณ วันที่  19  เมษายน 2562</t>
  </si>
  <si>
    <t>รายงานผลการเบิกจ่าย เงินงบประมาณ 2562   ส่วนแผนงาน  สำนักงานชลประทานที่ 2  ข้อมูลถึงณ วันที่ 19  เมษายน  2562</t>
  </si>
  <si>
    <t>รายงานผลการเบิกจ่าย เงินงบประมาณ 2562 ส่วนบริหารเครื่องจักรกลที่ 1  สำนักงานชลประทานที่ 2  ข้อมูลถึงณ วันที่  19   เมษายน  2562</t>
  </si>
  <si>
    <t>รายงานผลการเบิกจ่าย เงินงบประมาณ 2562 โครงการก่อสร้าง  สำนักงานชลประทานที่ 2  ข้อมูลถึงณ วันที่ 19  เมษายน  2562</t>
  </si>
  <si>
    <t>รายงานผลการเบิกจ่าย   ปีงบประมาณ 2561   สำนักงานชลประทานที่ 2  ข้อมูลถึงณ วันที่  19  เมษายน  2562</t>
  </si>
  <si>
    <t>รายงานผลการเบิกจ่าย   ปีงบประมาณ 2560   สำนักงานชลประทานที่ 2  ข้อมูลถึงณ วันที่ 19  เมษายน  2562</t>
  </si>
  <si>
    <t>รายงานผลการเบิกจ่าย เงินงบประมาณ 2561 โครงการก่อสร้าง  สำนักงานชลประทานที่ 2  ข้อมูลถึงณ วันที่ 19  เมษายน  2562</t>
  </si>
  <si>
    <t>รายงานผลการเบิกจ่าย เงินงบประมาณ 2561  ส่วนบริหารเครื่องจักรกลที่ 1  สำนักงานชลประทานที่ 2  ข้อมูลถึงณ วันที่ 19  เมษายน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</si>
</sst>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6"/>
      <name val="Angsana New"/>
      <family val="1"/>
    </font>
    <font>
      <sz val="16"/>
      <color rgb="FF00B0F0"/>
      <name val="Angsana New"/>
      <family val="1"/>
    </font>
    <font>
      <sz val="16"/>
      <color rgb="FF00B05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0" borderId="5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43" fontId="3" fillId="0" borderId="0" xfId="0" applyNumberFormat="1" applyFont="1"/>
    <xf numFmtId="43" fontId="3" fillId="0" borderId="9" xfId="1" applyFont="1" applyBorder="1" applyAlignment="1">
      <alignment vertical="top" wrapText="1"/>
    </xf>
    <xf numFmtId="0" fontId="3" fillId="3" borderId="5" xfId="0" applyFont="1" applyFill="1" applyBorder="1" applyAlignment="1">
      <alignment wrapText="1"/>
    </xf>
    <xf numFmtId="43" fontId="3" fillId="3" borderId="5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3" fontId="3" fillId="4" borderId="10" xfId="1" applyFont="1" applyFill="1" applyBorder="1" applyAlignment="1">
      <alignment wrapText="1"/>
    </xf>
    <xf numFmtId="43" fontId="3" fillId="4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43" fontId="7" fillId="0" borderId="5" xfId="1" applyFont="1" applyBorder="1" applyAlignment="1">
      <alignment vertical="top" wrapText="1"/>
    </xf>
    <xf numFmtId="43" fontId="7" fillId="0" borderId="7" xfId="1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43" fontId="7" fillId="0" borderId="0" xfId="0" applyNumberFormat="1" applyFont="1"/>
    <xf numFmtId="0" fontId="7" fillId="0" borderId="0" xfId="0" applyFont="1"/>
    <xf numFmtId="43" fontId="7" fillId="0" borderId="5" xfId="1" applyFont="1" applyBorder="1" applyAlignment="1">
      <alignment horizontal="center" wrapText="1"/>
    </xf>
    <xf numFmtId="43" fontId="7" fillId="0" borderId="7" xfId="1" applyFont="1" applyBorder="1" applyAlignment="1">
      <alignment horizontal="center" wrapText="1"/>
    </xf>
    <xf numFmtId="43" fontId="7" fillId="0" borderId="5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top"/>
    </xf>
    <xf numFmtId="43" fontId="7" fillId="0" borderId="5" xfId="1" applyFont="1" applyBorder="1" applyAlignment="1">
      <alignment wrapText="1"/>
    </xf>
    <xf numFmtId="43" fontId="7" fillId="0" borderId="7" xfId="1" applyFont="1" applyBorder="1" applyAlignment="1">
      <alignment wrapText="1"/>
    </xf>
    <xf numFmtId="43" fontId="3" fillId="0" borderId="5" xfId="1" applyFont="1" applyBorder="1" applyAlignment="1">
      <alignment wrapText="1"/>
    </xf>
    <xf numFmtId="43" fontId="9" fillId="0" borderId="5" xfId="1" applyFont="1" applyBorder="1" applyAlignment="1">
      <alignment wrapText="1"/>
    </xf>
    <xf numFmtId="43" fontId="9" fillId="0" borderId="7" xfId="1" applyFont="1" applyBorder="1" applyAlignment="1">
      <alignment wrapText="1"/>
    </xf>
    <xf numFmtId="43" fontId="3" fillId="0" borderId="5" xfId="1" applyFont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3" fontId="7" fillId="0" borderId="5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wrapText="1"/>
    </xf>
    <xf numFmtId="43" fontId="7" fillId="0" borderId="5" xfId="1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43" fontId="3" fillId="4" borderId="0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wrapText="1"/>
    </xf>
    <xf numFmtId="43" fontId="3" fillId="4" borderId="13" xfId="1" applyFont="1" applyFill="1" applyBorder="1" applyAlignment="1">
      <alignment wrapText="1"/>
    </xf>
    <xf numFmtId="43" fontId="3" fillId="4" borderId="13" xfId="0" applyNumberFormat="1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0" borderId="13" xfId="0" applyFont="1" applyBorder="1"/>
    <xf numFmtId="0" fontId="7" fillId="0" borderId="5" xfId="0" applyFont="1" applyBorder="1" applyAlignment="1">
      <alignment horizontal="left" wrapText="1"/>
    </xf>
    <xf numFmtId="43" fontId="7" fillId="0" borderId="5" xfId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21;&#3635;&#3611;&#3634;&#359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21;&#3635;&#3611;&#3634;&#359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21;&#3635;&#3611;&#3634;&#359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14;&#3632;&#3648;&#3618;&#363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09;&#3656;&#3634;&#360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09;&#3656;&#3634;&#360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48;&#3594;&#3637;&#3618;&#3591;&#3619;&#3634;&#361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21;&#3635;&#3611;&#3634;&#359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&#3621;&#3635;&#3611;&#3634;&#359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48;&#3594;&#3637;&#3618;&#3591;&#3619;&#3634;&#36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595;&#3656;&#3629;&#3617;&#3649;&#3595;&#3617;&#3621;&#3635;&#3611;&#3634;&#359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&#3648;&#3594;&#3637;&#3618;&#3591;&#3619;&#3634;&#361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14;&#3632;&#3648;&#3618;&#363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09;&#3656;&#3634;&#36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&#3609;&#3656;&#3634;&#360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88;&#3656;&#3634;&#3624;&#3638;&#3585;&#3625;&#3634;%20&#3626;&#3635;&#3619;&#3623;&#3592;%20&#3629;&#3629;&#3585;&#3649;&#3610;&#361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8;&#3656;&#3634;&#3624;&#3638;&#3585;&#3625;&#3634;%20&#3626;&#3635;&#3619;&#3623;&#3592;%20&#3629;&#3629;&#3585;&#3649;&#3610;&#361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6;&#3656;&#3634;&#3618;&#3627;&#3617;&#3640;&#3604;&#3627;&#3621;&#3633;&#3585;&#3600;&#3634;&#360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05;&#3636;&#3604;&#3605;&#3634;&#3617;&#3649;&#3612;&#3656;&#3609;&#3604;&#3636;&#3609;&#3652;&#3627;&#362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8;&#3656;&#3634;&#3610;&#3635;&#3619;&#3640;&#3591;&#3619;&#3633;&#3585;&#3625;&#3634;&#3648;&#3588;&#3619;&#3639;&#3656;&#3629;&#3591;&#3617;&#3639;&#3629;&#3614;&#3620;&#3605;&#3636;&#3585;&#3619;&#3619;&#3617;&#3648;&#3586;&#3639;&#3656;&#3629;&#360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8;&#3656;&#3634;&#3610;&#3635;&#3619;&#3640;&#3591;&#3619;&#3633;&#3585;&#3625;&#3634;&#3648;&#3588;&#3619;&#3639;&#3656;&#3629;&#3591;&#3617;&#3639;&#3629;&#3614;&#3620;&#3605;&#3636;&#3585;&#3619;&#3619;&#3617;&#3648;&#3586;&#3639;&#3656;&#3629;&#3609;%20&#3649;&#3617;&#3656;&#3605;&#3656;&#3635;%20&#3595;&#3656;&#3629;&#3617;&#3649;&#3595;&#36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14;&#3632;&#3648;&#3618;&#363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621;&#3635;&#3611;&#3634;&#359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614;&#3632;&#3648;&#3618;&#363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26;&#3635;&#3619;&#3623;&#3592;&#3649;&#3612;&#3609;&#3607;&#3637;&#3656;&#3616;&#3641;&#3617;&#3636;&#3611;&#3619;&#3632;&#3648;&#3607;&#362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49;&#3612;&#3609;&#3607;&#3637;&#3656;&#3616;&#3641;&#3617;&#3636;&#3611;&#3619;&#3632;&#3648;&#3607;&#3624;%2019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19;&#3633;&#3591;&#3623;&#3633;&#3604;&#3649;&#3621;&#3632;&#3629;&#3629;&#3585;&#3627;&#3609;&#3633;&#3591;&#3626;&#3639;&#3629;&#3626;&#3635;&#3588;&#3633;&#3597;&#3607;&#3637;&#3656;&#3627;&#3621;&#3623;&#359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19;&#3633;&#3591;&#3623;&#3633;&#3604;&#3649;&#3621;&#3632;&#3629;&#3629;&#3585;&#3627;&#3609;&#3633;&#3591;&#3626;&#3639;&#3629;&#3626;&#3635;&#3588;&#3633;&#3597;&#3607;&#3637;&#3656;&#3627;&#3621;&#3623;&#359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610;&#3619;&#3636;&#3627;&#3634;&#3619;&#3592;&#3633;&#3604;&#3627;&#3634;&#3607;&#3637;&#3656;&#3604;&#3636;&#360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610;&#3619;&#3636;&#3627;&#3634;&#3619;&#3592;&#3633;&#3604;&#3627;&#3634;&#3607;&#3637;&#3656;&#3604;&#3636;&#36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09;&#3656;&#3634;&#360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609;&#3656;&#3634;&#360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4/&#3648;&#3586;&#3639;&#3656;&#3629;&#3609;%20&#3649;&#3617;&#3656;&#3626;&#3619;&#3623;&#3618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4/&#3611;&#3619;&#3633;&#3610;&#3611;&#3619;&#3640;&#3591;&#3621;&#3635;&#3611;&#3634;&#359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11;&#3619;&#3633;&#3610;&#3611;&#3619;&#3640;&#3591;&#3621;&#3635;&#3611;&#3634;&#359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11;&#3619;&#3633;&#3610;&#3611;&#3619;&#3640;&#3591;&#3621;&#3635;&#3611;&#3634;&#3591;%20&#3614;&#3620;&#3605;&#3636;&#3585;&#3619;&#3619;&#3617;&#3648;&#3586;&#3639;&#3656;&#3629;&#3609;&#3649;&#3617;&#3656;&#3649;&#3585;&#3656;&#359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11;&#3619;&#3633;&#3610;&#3611;&#3619;&#3640;&#3591;&#3609;&#3656;&#3634;&#360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280A5/&#3626;&#3606;&#3634;&#3609;&#3637;&#3626;&#3641;&#3610;&#3609;&#3657;&#3635;&#3610;&#3657;&#3634;&#3609;&#3627;&#3633;&#3623;&#3648;&#3626;&#3639;&#362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280A5/&#3609;&#3656;&#3634;&#3609;%20280A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56001/56001-700%20&#3610;&#3619;&#3636;&#3627;&#3634;&#3619;&#3592;&#3633;&#3604;&#3585;&#3634;&#3619;&#3609;&#3657;&#363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56001/56001%20&#3611;&#3619;&#3633;&#3610;&#3611;&#3619;&#3640;&#3591;&#3621;&#3635;&#3611;&#3634;&#359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595;&#3656;&#3629;&#3617;&#3649;&#3595;&#3617;&#3609;&#3656;&#3634;&#360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56001/56001-6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6/&#3588;&#3656;&#3634;&#3619;&#3633;&#3591;&#3623;&#3633;&#3604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91;&#3610;&#3585;&#3621;&#3634;&#3591;%2040015%20&#3626;&#3594;&#3611;.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648;&#3619;&#3639;&#3629;&#3586;&#3640;&#3604;%2000743/56001%20-%207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648;&#3619;&#3639;&#3629;&#3586;&#3640;&#3604;%2000743/49052-7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648;&#3619;&#3639;&#3629;&#3586;&#3640;&#3604;%2000743/49054-7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85;&#3656;&#3629;&#3626;&#3619;&#3657;&#3634;&#3591;%2000712/4905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85;&#3656;&#3629;&#3626;&#3619;&#3657;&#3634;&#3591;%2000712/280A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45054/&#3588;&#3656;&#3634;&#3588;&#3623;&#3610;&#3588;&#3640;&#3617;&#3591;&#3634;&#3609;&#3592;&#3657;&#3634;&#3591;&#3648;&#3627;&#3617;&#3634;&#3648;&#3586;&#3639;&#3656;&#3629;&#3609;&#3649;&#3617;&#3656;&#3626;&#3619;&#3623;&#3618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45054/&#3611;&#3619;&#3633;&#3610;&#3611;&#3619;&#3640;&#3591;&#3649;&#3617;&#3656;&#3626;&#3619;&#3623;&#361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21;&#3635;&#3611;&#3634;&#359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48;&#3591;&#3636;&#3609;&#3585;&#3633;&#3609;&#3648;&#3627;&#3621;&#3639;&#3656;&#3629;&#3617;&#3611;&#3637;%2060/&#3648;&#3591;&#3636;&#3609;&#3585;&#3633;&#3609;&#3648;&#3627;&#3621;&#3639;&#3656;&#3629;&#3617;&#3611;&#3637;&#3649;&#3610;&#3610;&#3652;&#3617;&#3656;&#3617;&#3637;&#3627;&#3609;&#3637;&#3657;%20%20%20&#3614;&#3619;&#3610;.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48;&#3591;&#3636;&#3609;&#3585;&#3633;&#3609;&#3648;&#3627;&#3621;&#3639;&#3656;&#3629;&#3617;&#3611;&#3637;%2060/&#3648;&#3591;&#3636;&#3609;&#3585;&#3633;&#3609;&#3649;&#3610;&#3610;&#3617;&#3637;&#3627;&#3609;&#3637;&#3657;%20%20p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&#3624;&#3641;&#3609;&#3618;&#3660;&#3605;&#3657;&#3609;&#3607;&#3640;&#3609;%2000712/00712/3801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85;&#3656;&#3629;&#3626;&#3619;&#3657;&#3634;&#3591;%2000712/38015%20&#3591;&#3610;&#3585;&#3621;&#3634;&#3591;%20&#3648;&#3591;&#3636;&#3609;&#3585;&#3633;&#3609;%20&#3611;&#3637;%206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&#3624;&#3641;&#3609;&#3618;&#3660;&#3605;&#3657;&#3609;&#3607;&#3640;&#3609;%2000743%20&#3594;&#3656;&#3634;&#3591;&#3585;&#3621;/630X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&#3648;&#3591;&#3636;&#3609;&#3585;&#3633;&#3609;&#3648;&#3627;&#3621;&#3639;&#3656;&#3629;&#3617;&#3611;&#3637;%2061%20&#3586;&#3618;&#3634;&#3618;%2060/&#3648;&#3591;&#3636;&#3609;&#3585;&#3633;&#3609;&#3648;&#3627;&#3621;&#3639;&#3656;&#3629;&#3617;&#3611;&#3637;%2061%2000743/&#3648;&#3591;&#3636;&#3609;&#3585;&#3633;&#3609;%2061%20630X1%20%200074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14;&#3632;&#3648;&#3618;&#363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09;&#3656;&#3634;&#360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611;&#3619;&#3633;&#3610;&#3611;&#3619;&#3640;&#3591;&#3609;&#3656;&#363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ซ่อมแซมทางระบายน้ำอ่างเก็บน้ำแพะทุ่งกว๋าว(อันเนื่องมาจากพระราชดำริ)ต.ทุ่งกว๋าว อ.เมืองปาน จ.ลำปาง</v>
          </cell>
          <cell r="I5" t="str">
            <v>0700340084410148</v>
          </cell>
          <cell r="J5">
            <v>5000</v>
          </cell>
        </row>
        <row r="6">
          <cell r="E6" t="str">
            <v>ซ่อมแซมคลองส่งน้ำอ่างเก็บน้ำแม่ไพร(เหมืองทุ่งโฮ้ง)ต.วอแก้ว อ.ห้างฉัตร จ.ลำปาง</v>
          </cell>
          <cell r="I6" t="str">
            <v>0700340084410149</v>
          </cell>
          <cell r="J6">
            <v>38000</v>
          </cell>
        </row>
        <row r="7">
          <cell r="E7" t="str">
            <v>ซ่อมแซมระบบส่งน้ำฝั่งซ้ายอ่างเก็บน้ำแม่ตา ต.ปงดอน อ.แจ้ห่ม จ.ลำปาง</v>
          </cell>
          <cell r="I7" t="str">
            <v>0700340084410150</v>
          </cell>
          <cell r="J7">
            <v>28000</v>
          </cell>
        </row>
        <row r="8">
          <cell r="E8" t="str">
            <v>ซ่อมแซมระบบส่งน้ำฝั่งซ้ายอ่างเก็บน้ำแม่ยาว ต.แม่สัน อ.ห้างฉัตร จ.ลำปาง</v>
          </cell>
          <cell r="I8" t="str">
            <v>0700340084410152</v>
          </cell>
          <cell r="J8">
            <v>42000</v>
          </cell>
        </row>
        <row r="9">
          <cell r="E9" t="str">
            <v>ซ่อมแซมระบบส่งน้ำฝายน้ำงาว ต.หลวงเหนือ อ.งาว จ.ลำปาง</v>
          </cell>
          <cell r="I9" t="str">
            <v>0700340084410153</v>
          </cell>
          <cell r="J9">
            <v>39900</v>
          </cell>
        </row>
        <row r="10">
          <cell r="E10" t="str">
            <v>ซ่อมแซมอาคารบังคับน้ำอ่างเก็บน้ำแม่ปอน ต.แม่สัน อ.ห้างฉัตร จ.ลำปาง</v>
          </cell>
          <cell r="I10" t="str">
            <v>0700340084410154</v>
          </cell>
          <cell r="J10">
            <v>4400</v>
          </cell>
        </row>
        <row r="11">
          <cell r="E11" t="str">
            <v>ซ่อมแซมระบบส่งน้ำอ่างเก็บน้ำแม่เกี๋ยง(เหมืองขวาบน) ต.เมืองยาว อ.ห้างฉัตร จ.ลำปาง</v>
          </cell>
          <cell r="I11" t="str">
            <v>0700340084410155</v>
          </cell>
          <cell r="J11">
            <v>47000</v>
          </cell>
        </row>
        <row r="12">
          <cell r="E12" t="str">
            <v>ซ่อมแซมคลองส่งน้ำอ่างเก็บน้ำแม่เกี๋ยง(เหมืองขวาล่าง) ต.เมืองยาว อ.ห้างฉัตร จ.ลำปาง</v>
          </cell>
          <cell r="I12" t="str">
            <v>0700340084410156</v>
          </cell>
        </row>
        <row r="13">
          <cell r="E13" t="str">
            <v>ซ่อมแซมอาคารบังคับน้ำอ่างเก็บน้ำห้วยแม่แมะ ต.ปงดอน อ.แจ้ห่ม จ.ลำปาง</v>
          </cell>
          <cell r="I13" t="str">
            <v>0700340084410157</v>
          </cell>
          <cell r="J13">
            <v>2100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ซ่อมแซมระบบส่งน้ำอ่างเก็บน้ำแม่สัน(เหมืองบ้านทุ่งเกวียน)โครงการชลประทานลำปาง ต.แม่สัน อ.ห้างฉัตร จ.ลำปาง</v>
          </cell>
          <cell r="I5" t="str">
            <v>0700349052410478</v>
          </cell>
          <cell r="J5">
            <v>83000</v>
          </cell>
        </row>
        <row r="6">
          <cell r="E6" t="str">
            <v>ซ่อมแซมระบบส่งน้ำฝั่งขวาอ่างเก็บน้ำแม่ค่อมโครงการชลประทานลำปาง ต.บ้านเอื้อม อ.เมือง จ.ลำปาง</v>
          </cell>
          <cell r="I6" t="str">
            <v>0700349052410479</v>
          </cell>
          <cell r="J6">
            <v>56700</v>
          </cell>
        </row>
        <row r="7">
          <cell r="E7" t="str">
            <v>ซ่อมแซมอาคารบังคับน้ำอ่างเก็บน้ำห้วยแม่หยวกโครงการชลประทานลำปาง ต.ปงดอน อ.แจ้ห่ม จ.ลำปาง</v>
          </cell>
          <cell r="I7" t="str">
            <v>0700349052410481</v>
          </cell>
          <cell r="J7">
            <v>3800</v>
          </cell>
        </row>
        <row r="8">
          <cell r="E8" t="str">
            <v>ซ่อมแซมอาคารบังคับน้ำอ่างเก็บน้ำห้วยส้มโครงการชลประทานลำปาง ต.บ้านแหง อ.งาว จ.ลำปาง</v>
          </cell>
          <cell r="I8" t="str">
            <v>0700349052410482</v>
          </cell>
          <cell r="J8">
            <v>1500</v>
          </cell>
        </row>
        <row r="9">
          <cell r="E9" t="str">
            <v>ซ่อมแซมคลองส่งน้ำอ่างเก็บน้ำแม่สัน(เหมืองฝายต้นต้อง)โครงการชลประทานลำปาง ต.แม่สัน อ.ห้างฉัตร จ.ลำปาง</v>
          </cell>
          <cell r="I9" t="str">
            <v>0700349052410483</v>
          </cell>
          <cell r="J9">
            <v>62000</v>
          </cell>
        </row>
        <row r="10">
          <cell r="E10" t="str">
            <v>ซ่อมแซมคลองส่งน้ำซอยทุ่งพร้าวอ่างเก็บน้ำห้วยเป้งโครงการชลประทานลำปาง ต.ทุ่งกว๋าว อ.เมืองปาน จ.ลำปาง</v>
          </cell>
          <cell r="I10" t="str">
            <v>0700349052410484</v>
          </cell>
          <cell r="J10">
            <v>13000</v>
          </cell>
        </row>
        <row r="11">
          <cell r="E11" t="str">
            <v>ซ่อมแซมระบบท่อส่งน้ำอ่างเก็บน้ำแม่จอกโครงการชลประทานลำปาง ต.เสริมซ้าย อ.เสริมงาม จ.ลำปาง</v>
          </cell>
          <cell r="I11" t="str">
            <v>0700349052410485</v>
          </cell>
          <cell r="J11">
            <v>14100</v>
          </cell>
        </row>
        <row r="12">
          <cell r="E12" t="str">
            <v>ซ่อมแซมระบบส่งน้ำแม่ตา LMCอ่างเก็บน้ำแม่ตา โครงการชลประทานลำปาง ต.ปงดอน อ.แจ้ห่ม จ.ลำปาง</v>
          </cell>
          <cell r="I12" t="str">
            <v>0700349052410486</v>
          </cell>
        </row>
        <row r="13">
          <cell r="E13" t="str">
            <v>ซ่อมแซมคลองส่งน้ำทุ่งนาใหม่อ่างเก็บน้ำห้วยเป้งโครงการชลประทานลำปาง ต.ทุ่งกว๋าว อ.เมืองปาน จ.ลำปาง</v>
          </cell>
          <cell r="I13" t="str">
            <v>0700349052410487</v>
          </cell>
          <cell r="J13">
            <v>35000</v>
          </cell>
        </row>
        <row r="14">
          <cell r="E14" t="str">
            <v>ซ่อมแซมระบบส่งน้ำฝายห้วยหลวง(อ่างเก็บน้ำห้วยหลวง)โครงการชลประทานลำปาง ต.สบปราบ อ.สบปราบ จ.ลำปาง</v>
          </cell>
          <cell r="I14" t="str">
            <v>0700349052410488</v>
          </cell>
          <cell r="J14">
            <v>34200</v>
          </cell>
        </row>
        <row r="15">
          <cell r="E15" t="str">
            <v>ซ่อมแซมระบบส่งน้ำทุ่งแอดระยะที่ 1โครงการชลประทานลำปาง ต.บ้านขอ อ.เมืองปาน จ.ลำปาง</v>
          </cell>
          <cell r="I15" t="str">
            <v>0700349052410489</v>
          </cell>
          <cell r="J15">
            <v>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2">
          <cell r="J12">
            <v>0</v>
          </cell>
        </row>
        <row r="16">
          <cell r="E16" t="str">
            <v>ซ่อมแซมคลองส่งน้ำซอยทุ่งใน อ่างเก็บน้ำแพะทุ่งกว๋าว โครงการชลประทานลำปาง ต.ทุ่งกว๋าว อ.เมืองปาน  จ.ลำปาง</v>
          </cell>
          <cell r="I16" t="str">
            <v>0700349052410480</v>
          </cell>
          <cell r="J16">
            <v>35000</v>
          </cell>
        </row>
        <row r="17">
          <cell r="E17" t="str">
            <v>ซ่อมแซมพนังป้องกันตลิ่งแม่น้ำวังท้ายเขื่อนกิ่วคอหมาเพื่อป้องกันน้ำท่วมกม.14+450 ยาว 100 เมตร</v>
          </cell>
          <cell r="I17" t="str">
            <v>0700349052410ZS4</v>
          </cell>
          <cell r="J17">
            <v>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ซ่อมแซมคลองส่งน้ำอ่างเก็บน้ำแม่ใจโครงการชลประทานพะเยา ต.เจริญราษฎร์ อ.แม่ใจ จ.พะเยา</v>
          </cell>
          <cell r="I5" t="str">
            <v>0700349052410457</v>
          </cell>
          <cell r="J5">
            <v>39000</v>
          </cell>
        </row>
        <row r="6">
          <cell r="E6" t="str">
            <v>ซ่อมแซมระบบสูบน้ำด้วยพลิงน้ำอ่างเก็บน้ำแม่ปืมโครงการชลประทานพะเยา ต.บ้านเหล่า อ.แม่ใจ จ.พะเยา</v>
          </cell>
          <cell r="I6" t="str">
            <v>0700349052410458</v>
          </cell>
          <cell r="J6">
            <v>22300</v>
          </cell>
        </row>
        <row r="7">
          <cell r="E7" t="str">
            <v>ซ่อมแซมคลองส่งน้ำสาย1L-LMCอ่างเก็บน้ำห้วยซ้ายโครงการชลประทานพะเยา ต.ทุ่งกล้วย อ.ภูซาง จ.พะเยา</v>
          </cell>
          <cell r="I7" t="str">
            <v>0700349052410459</v>
          </cell>
          <cell r="J7">
            <v>13800</v>
          </cell>
        </row>
        <row r="8">
          <cell r="E8" t="str">
            <v>ซ่อมแซมหินเรียงป้องกันการกักเซาะตอม่อสะพานน้ำสาย LMCและ RMCโครงการชลประทานพะเยา ต.จุน อ.จุน จ.พะเยา</v>
          </cell>
          <cell r="I8" t="str">
            <v>0700349052410460</v>
          </cell>
        </row>
        <row r="9">
          <cell r="E9" t="str">
            <v>ซ่อมแซมคลองส่งน้ำสายทุ่งขามอ่างเก็บน้ำห้วยไฟโครงการชลประทานพะเยา ต.ป่าสัก อ.ภูซาง จ.พะเยา</v>
          </cell>
          <cell r="I9" t="str">
            <v>0700349052410461</v>
          </cell>
          <cell r="J9">
            <v>44400</v>
          </cell>
        </row>
        <row r="10">
          <cell r="E10" t="str">
            <v>ซ่อมแซมคลองส่งน้ำสายดงกู่และสายห้วยเต๋ยอ่างเก็บน้ำแม่สุกโครงการชลประทานพะเยา ต.แม่สุก อ.แม่ใจ จ.พะเยา</v>
          </cell>
          <cell r="I10" t="str">
            <v>0700349052410462</v>
          </cell>
          <cell r="J10">
            <v>35000</v>
          </cell>
        </row>
        <row r="11">
          <cell r="E11" t="str">
            <v>ซ่อมแซมระบบไฟฟ้าสถานีสูบน้ำด้วยไฟฟ้าบ้านเชียงคานโครงการชลประทานพะเยา ต.เชียงบาน อ.เชียงคำ จ.พะเยา</v>
          </cell>
          <cell r="I11" t="str">
            <v>0700349052410463</v>
          </cell>
          <cell r="J11">
            <v>21000</v>
          </cell>
        </row>
        <row r="12">
          <cell r="E12" t="str">
            <v>ซ่อมแซมคลองส่งน้ำสาย5R-RMCอ่างเก็บน้ำห้วยสาโครงการชลประทานพะเยา ต.ร่มเย็น อ.เชียงคำ จ.พะเยา</v>
          </cell>
          <cell r="I12" t="str">
            <v>0700349052410464</v>
          </cell>
          <cell r="J12">
            <v>14100</v>
          </cell>
        </row>
        <row r="13">
          <cell r="E13" t="str">
            <v>ซ่อมแซมคอนกรีตดาดรับน้ำหน้าอาคารทางระบายน้ำล้นอ่างเก็บน้ำน้ำจุน โครงการชลประทานพะเยา ต.จุน อ.จุน จ.พะเยา</v>
          </cell>
          <cell r="I13" t="str">
            <v>0700349052410465</v>
          </cell>
          <cell r="J13">
            <v>46000</v>
          </cell>
        </row>
        <row r="14">
          <cell r="E14" t="str">
            <v>ซ่อมแซมคลองส่งน้ำสายทุ่งลาวอ่างเก็บน้ำห้วยบงโครงการชลประทานพะเยา ต.ทุ่งกล้วย อ.ภูซาง จ.พะเยา</v>
          </cell>
          <cell r="I14" t="str">
            <v>0700349052410466</v>
          </cell>
          <cell r="J14">
            <v>35100</v>
          </cell>
        </row>
        <row r="15">
          <cell r="E15" t="str">
            <v>ซ่อมแซงคลองส่งน้ำสายเหมืองหลวงบ้านเหล่าอ่างเก็บน้ำห้วยตุ่นโครงการชลประทานพะเยา ต.บ้านตุ่น อเมือง จ.พะเยา</v>
          </cell>
          <cell r="I15" t="str">
            <v>0700349052410467</v>
          </cell>
          <cell r="J15">
            <v>35000</v>
          </cell>
        </row>
        <row r="16">
          <cell r="E16" t="str">
            <v>ซ่อมแซมคอนกรีตคลองส่งน้ำสาย 1L-RMCอ่างเก็บน้ำห้วยเคียนโครงการชลประทานพะเยา ต.ห้วยข้าวก่ำ อ.จุน จ.พะเยา</v>
          </cell>
          <cell r="I16" t="str">
            <v>0700349052410469</v>
          </cell>
          <cell r="J16">
            <v>44500</v>
          </cell>
        </row>
        <row r="17">
          <cell r="E17" t="str">
            <v>ซ่อมแซมคลองส่งน้ำสายฝายวังเตาอ่างเก็บน้ำร่องส้านโครงการชลประทานพะเยา ต.ร่มเย็น อ.เชียงคำ จ.พะเยา</v>
          </cell>
          <cell r="I17" t="str">
            <v>0700349052410470</v>
          </cell>
          <cell r="J17">
            <v>28200</v>
          </cell>
        </row>
        <row r="18">
          <cell r="E18" t="str">
            <v>ซ่อมแซมคลองส่งน้ำท้ายท่อส่งน้ำสาย RMCอ่างเก็บน้ำแม่ปืมโครงการชลประทานพะเยา ต.บ้านเหล่า อ.แม่ใจ จ.พะเยา</v>
          </cell>
          <cell r="I18" t="str">
            <v>0700349052410471</v>
          </cell>
          <cell r="J18">
            <v>14000</v>
          </cell>
        </row>
        <row r="19">
          <cell r="E19" t="str">
            <v>ซ่อมแซมคอนกรีตคลองส่งน้ำสาย1R-1LMCอ่างเก็บน้ำแม่กำลังโครงการชลประทานพะเยา ต.ขุนควร อ.ปง จ.พะเยา</v>
          </cell>
          <cell r="I19" t="str">
            <v>0700349052410472</v>
          </cell>
          <cell r="J19">
            <v>45000</v>
          </cell>
        </row>
        <row r="20">
          <cell r="E20" t="str">
            <v>ซ่อมแซมคลองส่งน้ำรางรินฝายปางถ้ำ2 โครงการชลประทานพะเยา ต.ร่มเย็น อ.เชียงคำ จ.พะเยา</v>
          </cell>
          <cell r="I20" t="str">
            <v>0700349052410473</v>
          </cell>
          <cell r="J20">
            <v>18000</v>
          </cell>
        </row>
        <row r="21">
          <cell r="E21" t="str">
            <v>ซ่อมแซมคลองส่งน้ำสาย1R-RMCกม.12+990ถึงกม13+440อ่างเก็บน้ำแม่ปืมโครงการชลประทานพะเยา ต.บ้านเหล่า อ.แม่ใจ.จ.พะเยา</v>
          </cell>
          <cell r="I21" t="str">
            <v>0700349052410474</v>
          </cell>
          <cell r="J21">
            <v>23000</v>
          </cell>
        </row>
        <row r="22">
          <cell r="E22" t="str">
            <v>ซ่อมแซมท่อส่งน้ำสาย LMCฝายน้ำสาวลูกที่ 2 โครงการชลประทานพะเยา ต.ขุนควร อ.ปง จ.พะเยา</v>
          </cell>
          <cell r="I22" t="str">
            <v>0700349052410475</v>
          </cell>
          <cell r="J22">
            <v>39800</v>
          </cell>
        </row>
        <row r="23">
          <cell r="E23" t="str">
            <v>ซ่อมแซมคลองส่งน้ำสายดงชาวบ้านอ่างเก็บน้ำห้วยซ้ายโครงการชลประทานพะเยา ต.ทุ่งกล้วย อ.ภูซาง จ.พะเยา</v>
          </cell>
          <cell r="I23" t="str">
            <v>0700349052410476</v>
          </cell>
          <cell r="J23">
            <v>23400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8">
          <cell r="J8">
            <v>46600</v>
          </cell>
        </row>
        <row r="24">
          <cell r="E24" t="str">
            <v>ซ่อมแซมเพิ่มประสิทธิภาพ ปตร.นาเจริญโครงการชลประทานพะเยา ต.อ่างทอง อ.เชียงคำ จ.พะเยา</v>
          </cell>
          <cell r="I24" t="str">
            <v>0700349052410468</v>
          </cell>
          <cell r="J24">
            <v>22200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ซ่อมแซมระบบส่งน้ำคลอง RMCอ่างเก็บน้ำน้ำแหง(กลางพรด.)โครงการชลประทานน่าน อ.นาน้อย จ.น่าน</v>
          </cell>
          <cell r="I5" t="str">
            <v>0700349052410448</v>
          </cell>
          <cell r="J5">
            <v>62000</v>
          </cell>
        </row>
        <row r="6">
          <cell r="E6" t="str">
            <v>ซ่อมแซมคลองส่งน้ำ1R-RMCอ่างเก็บน้ำน้ำงอบโครงการชลประทานน่าน ต.งอบ อ.ทุ่งช้าง จ.น่าน</v>
          </cell>
          <cell r="I6" t="str">
            <v>0700349052410450</v>
          </cell>
          <cell r="J6">
            <v>37000</v>
          </cell>
        </row>
        <row r="7">
          <cell r="E7" t="str">
            <v>ซ่อมแซมระบบส่งน้ำคลอง LMCกม.5+890.7+700อ่างเก็บน้ำน้ำแหง(กลาง)โครงการชลประทานน่าน อ.นาน้อย จ.น่าน</v>
          </cell>
          <cell r="I7" t="str">
            <v>0700349052410451</v>
          </cell>
        </row>
        <row r="8">
          <cell r="E8" t="str">
            <v>ซ่อมแซมคลองส่งน้ำ LMCอ่างเก็บน้ำน้ำและกม.1+900ถึงกม2+000 โครงการชลประทานน่าน ต.และ อ.ทุ่งช้าง จ.น่าน</v>
          </cell>
          <cell r="I8" t="str">
            <v>0700349052410452</v>
          </cell>
          <cell r="J8">
            <v>38000</v>
          </cell>
        </row>
        <row r="9">
          <cell r="E9" t="str">
            <v>ซ่อมแซมคลองส่งน้ำRMCฝายน้ำสอดโครงการชลประทานน่าน ต.และ อ.ทุ่งช้าง จ.น่าน</v>
          </cell>
          <cell r="I9" t="str">
            <v>0700349052410453</v>
          </cell>
        </row>
        <row r="10">
          <cell r="E10" t="str">
            <v>ซ่อมแซมอาคารปลายคลอง 3R-LMC อ่างเก็บน้ำน้ำแหง(กลาง พรด.)โครงการชลประทานน่าน ต.นาน้อย อ.นาน้อย จ.น่าน</v>
          </cell>
          <cell r="I10" t="str">
            <v>0700349052410455</v>
          </cell>
          <cell r="J10">
            <v>44000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J7">
            <v>0</v>
          </cell>
        </row>
        <row r="9">
          <cell r="J9">
            <v>38000</v>
          </cell>
        </row>
        <row r="11">
          <cell r="E11" t="str">
            <v>ซ่อมแซมอาคารป้องกันตลิ่งท้ายอ่างเก็บน้ำน้ำพง ต.พงษ์ อ.สันติสุข จ.น่าน</v>
          </cell>
          <cell r="I11" t="str">
            <v>0700349052410ZA2</v>
          </cell>
          <cell r="J11">
            <v>300000</v>
          </cell>
        </row>
        <row r="12">
          <cell r="E12" t="str">
            <v>ซ่อมแซมระบบส่งน้ำฝายนาบง(พมพ.)โครงการชลประทานน่าน ต.บ่อเกลือใต้ อ.บ่อเกลือ จ.น่าน</v>
          </cell>
          <cell r="I12" t="str">
            <v>0700349052410449</v>
          </cell>
          <cell r="J12">
            <v>40000</v>
          </cell>
        </row>
        <row r="13">
          <cell r="E13" t="str">
            <v>ซ่อมแซมระบบส่งน้ำฝายลูกที่ 4อ่างเก็บน้ำน้ำเกี๋ยน โครงการชลประทานน่าน ต.น้ำเกี๋ยน อ.ภูเพียง จ.น่าน</v>
          </cell>
          <cell r="I13" t="str">
            <v>0700349052410454</v>
          </cell>
          <cell r="J13">
            <v>41300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ซ่อมแซมบายระบายอาคารอัดน้ำกลางคลองสายใหญ่ฝั่งซ้ายโครงการส่งน้ำและบำรุงรักษาแม่ลาว ต.ดงมะดะ อ.แม่ลาว จ.เชียงราย</v>
          </cell>
          <cell r="I5" t="str">
            <v>0700349052410364</v>
          </cell>
          <cell r="J5">
            <v>17500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ปรับปรุงคลองซอย36.7L-RMCกิ่วลม ต.บ้านเป้า อ.เมือง จ.ลำปาง</v>
          </cell>
          <cell r="I5" t="str">
            <v>0700349052420162</v>
          </cell>
          <cell r="J5">
            <v>530000</v>
          </cell>
        </row>
        <row r="6">
          <cell r="E6" t="str">
            <v>ปรับปรุงคลองซอย35.7L-RMCกิ่วลม ต.บ้านเป้า อ.เมือง จ.ลำปาง</v>
          </cell>
          <cell r="I6" t="str">
            <v>0700349052420163</v>
          </cell>
          <cell r="J6">
            <v>550000</v>
          </cell>
        </row>
        <row r="7">
          <cell r="E7" t="str">
            <v>ปรับปรุงลาดตลิ่งคลองส่งน้ำสายใหญ่แม่วังฝั่งขวาโครงการส่งน้ำและบำรุงรักษาแม่วัง ต.บ่อแฮ้ว อ.เมือง จ.ลำปาง</v>
          </cell>
          <cell r="I7" t="str">
            <v>0700349052420031</v>
          </cell>
          <cell r="J7">
            <v>418700</v>
          </cell>
        </row>
        <row r="8">
          <cell r="E8" t="str">
            <v>ปรับปรุงฝายแม่ไพรลูกที่ 5 พร้อมอาคารประกอบ ต.หนองหล่ม อ.ห้างฉัตร จ.ลำปาง</v>
          </cell>
          <cell r="I8" t="str">
            <v>0700349052420032</v>
          </cell>
          <cell r="J8">
            <v>479000</v>
          </cell>
        </row>
        <row r="9">
          <cell r="E9" t="str">
            <v>ปรับปรุงระบบส่งน้ำอ่างเก็บน้ำแม่งอนอันเนื่องมาจากพระราชดำริระยะ 4(สิ้นสุดโครงการ) ต.บ้านแหง อ.งาว จ.ลำปาง</v>
          </cell>
          <cell r="I9" t="str">
            <v>0700349052420036</v>
          </cell>
          <cell r="J9">
            <v>300000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0">
          <cell r="E10" t="str">
            <v>ปรับปรุงระบบส่งน้ำสนับสนุนแปลงทฤษฎีใหม่พื้นที่ฝ่ายส่งน้ำและบำรุงรักษาที่ 2 อ.เมือง จ.ลำปาง</v>
          </cell>
          <cell r="I10" t="str">
            <v>0700349052410181</v>
          </cell>
          <cell r="J10">
            <v>250000</v>
          </cell>
        </row>
        <row r="11">
          <cell r="E11" t="str">
            <v>ปรับปรุงคลองซอย8+034RMCกิ่วลม อ.เมือง จ.ลำปาง</v>
          </cell>
          <cell r="I11" t="str">
            <v>0700349052410183</v>
          </cell>
          <cell r="J11">
            <v>113000</v>
          </cell>
        </row>
        <row r="12">
          <cell r="E12" t="str">
            <v>ปรับปรุงคลองซอย18.3L-RMCกิ่วลม  อ.เมือง จ.ลำปาง</v>
          </cell>
          <cell r="I12" t="str">
            <v>0700349052410184</v>
          </cell>
          <cell r="J12">
            <v>182000</v>
          </cell>
        </row>
        <row r="13">
          <cell r="E13" t="str">
            <v>ปรับปรุงคลองซอย กม5+838 RMCกิ่วลม อ.เมือง จ.ลำปาง</v>
          </cell>
          <cell r="I13" t="str">
            <v>0700349052410185</v>
          </cell>
          <cell r="J13">
            <v>112000</v>
          </cell>
        </row>
        <row r="14">
          <cell r="E14" t="str">
            <v>ปรับปรุงระบายน้ำปลายคลอง คลองซอย 1.6L-RMCกิ่วลม11.2L-RMCกิ่วลมและคลองแยกซอย15.2L-RMCกิ่วลม อ.เมือง จ.ลำปาง</v>
          </cell>
          <cell r="I14" t="str">
            <v>0700349052410186</v>
          </cell>
          <cell r="J14">
            <v>128000</v>
          </cell>
        </row>
        <row r="15">
          <cell r="E15" t="str">
            <v>ปรับปรุงท่อส่งน้ำสนับสนุนแปลงใหญ่ 9 แห่ง คลองซอย 12 RMCกิ่วลม ต.ลำปางหลวง อ.เกาะคา จ.ลำปาง</v>
          </cell>
          <cell r="I15" t="str">
            <v>0700349052410180</v>
          </cell>
          <cell r="J15">
            <v>23000</v>
          </cell>
        </row>
        <row r="16">
          <cell r="E16" t="str">
            <v>ปรับปรุงอาคารอัดน้ำกลางคลอง RMC กิ่วคอมา จำนวน 2 แห่ง อ.แจ้ห่ม จ.ลำปาง</v>
          </cell>
          <cell r="I16" t="str">
            <v>0700349052410182</v>
          </cell>
          <cell r="J16">
            <v>280000</v>
          </cell>
        </row>
        <row r="17">
          <cell r="E17" t="str">
            <v>ปรับปรุงคลองส่งน้ำสายซอย กม.8+000 คลองส่งน้ำสายใหญ่ฝั่งซ้ายท้ายเขื่อนกิ่วคอหมา ต.แจ้ห่ม อ.แจ้ห่ม จ.ลำปาง</v>
          </cell>
          <cell r="I17" t="str">
            <v>0700349052410187</v>
          </cell>
          <cell r="J17">
            <v>187000</v>
          </cell>
        </row>
        <row r="18">
          <cell r="E18" t="str">
            <v>ปรับปรุงคูส่งน้ำ กม.10+800 คลองส่งน้ำสายใหญ่ฝั่งซ้ายท้ายเขื่อนกิ่วคอหมา ต.แจ้ห่ม อ.แจ้ห่ม จ.ลำปาง</v>
          </cell>
          <cell r="I18" t="str">
            <v>0700349052410188</v>
          </cell>
          <cell r="J18">
            <v>23000</v>
          </cell>
        </row>
        <row r="19">
          <cell r="E19" t="str">
            <v>ปรับปรุงคลองแยกซอย คลองซอย 3 RMC  กิ่วคอหมา ต.แจ้ห่ม อ.แจ้ห่ม จ.ลำปาง</v>
          </cell>
          <cell r="I19" t="str">
            <v>0700349052410189</v>
          </cell>
          <cell r="J19">
            <v>210000</v>
          </cell>
        </row>
        <row r="20">
          <cell r="E20" t="str">
            <v>ปรับปรุงฝายห้วยแม่ไพรลูกที่ 6  พร้อมระบบส่งน้ำ ต.บ้านเป้า อ.เมือง จ.ลำปาง</v>
          </cell>
          <cell r="I20" t="str">
            <v>0700349052420033</v>
          </cell>
          <cell r="J20">
            <v>584000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ปรับปรุงบ่อพักน้ำปากคลองซอย 1R-LMC ต.ดงมะดะ อ.แม่ลาว จ.เชียงราย</v>
          </cell>
          <cell r="I5" t="str">
            <v>0700349052410016</v>
          </cell>
          <cell r="J5">
            <v>90500</v>
          </cell>
        </row>
        <row r="6">
          <cell r="E6" t="str">
            <v>ปรับปรุงอาคารอัดน้ำ RMCพร้อมติดตั้งเกียร์มอเตอร์ ต.ทรายขาว อ.พาน จ.เชียงราย</v>
          </cell>
          <cell r="J6">
            <v>36879</v>
          </cell>
        </row>
        <row r="7">
          <cell r="E7" t="str">
            <v>ปรับปรุงอาคารอัดน้ำ LMCพร้อมติดตั้งเกียร์มอเตอร์ ต.ดงมะดะ อ.แม่ลาว จ.เชียงราย</v>
          </cell>
          <cell r="J7">
            <v>10705</v>
          </cell>
        </row>
        <row r="8">
          <cell r="E8" t="str">
            <v>ปรับปรุงคลองซอย 10L-RMC ต.เมืองพาน อ.พาน จ.เชียงราย</v>
          </cell>
          <cell r="J8">
            <v>286500</v>
          </cell>
        </row>
        <row r="9">
          <cell r="E9" t="str">
            <v>ปรับปรุงประตูระบายน้ำเจ้าวรการบัญชาโครงการส่งน้ำและบำรุงรักษาแม่ลาว อ.พาน จ.เชียงราย</v>
          </cell>
          <cell r="I9" t="str">
            <v>0700349052420034</v>
          </cell>
          <cell r="J9">
            <v>1404000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2">
          <cell r="J12">
            <v>38000</v>
          </cell>
        </row>
        <row r="14">
          <cell r="E14" t="str">
            <v>ซ่อมแซมทางระบายน้ำและหินคลุกสันทำนบอ่างเก็บน้ำแม่แมะ ต.ปงดอน อ.แจ้ห่ม จ.ลำปาง</v>
          </cell>
          <cell r="I14" t="str">
            <v>0700340084410151</v>
          </cell>
          <cell r="J14">
            <v>29000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I6" t="str">
            <v>0700349052410190</v>
          </cell>
        </row>
        <row r="7">
          <cell r="I7" t="str">
            <v>0700349052410191</v>
          </cell>
        </row>
        <row r="8">
          <cell r="I8" t="str">
            <v>0700349052410192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ปรับปรุงท่อลอดคลองส่งน้ำRMC กม.48+600 พร้อมระบบระบายน้ำลงหนองเล็งทราย ระยะที่ 1 ต.ศรีถ้อย อ.แม่ใจ จ.พะเยา</v>
          </cell>
          <cell r="I5" t="str">
            <v>0700349052410193</v>
          </cell>
          <cell r="J5">
            <v>264800</v>
          </cell>
        </row>
        <row r="6">
          <cell r="E6" t="str">
            <v>ปรับปรุงระบบระบายน้ำบ้านนาเจริญพร้อมอาคารประกอบ ต.อ่างทอง อ.เชียงคำ จ.พะเยา</v>
          </cell>
          <cell r="I6" t="str">
            <v>0700349052420037</v>
          </cell>
          <cell r="J6">
            <v>468700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ปรับปรุงระบบส่งน้ำฝั่งซ้ายอ่างเก็บน้ำน้ำพงและอาคารประกอบ(ขนาดกลาง) ต.พงษ์ อ.สันติสุข จ.น่าน</v>
          </cell>
          <cell r="I5" t="str">
            <v>0700349052420164</v>
          </cell>
          <cell r="J5">
            <v>408000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E6" t="str">
            <v>ปรับปรุงหัวงานฝายดอนแก้วและอาคารประกอบ ต.พระธาตุ อ.เชียงกลาง จ.น่าน</v>
          </cell>
          <cell r="I6" t="str">
            <v>0700349052420035</v>
          </cell>
          <cell r="J6">
            <v>394000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ค่าศึกษา</v>
          </cell>
          <cell r="I5" t="str">
            <v>0700349052420002</v>
          </cell>
          <cell r="J5">
            <v>1920000</v>
          </cell>
        </row>
        <row r="6">
          <cell r="E6" t="str">
            <v>ค่าสำรวจ</v>
          </cell>
          <cell r="I6" t="str">
            <v>0700349052420002</v>
          </cell>
        </row>
        <row r="7">
          <cell r="E7" t="str">
            <v>ค่าออกแบบ</v>
          </cell>
          <cell r="I7" t="str">
            <v>0700349052420002</v>
          </cell>
          <cell r="J7">
            <v>2510000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4787000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โครงการปรับปรุงโครงข่ายหมุดหลักฐานทางราบและทางดิ่งในพื้นที่ลุ่มน้ำเจ้าพระยา ระยะที่ 2 และลุ่มน้ำยม  กทม.</v>
          </cell>
          <cell r="I5" t="str">
            <v>0700349052420020</v>
          </cell>
          <cell r="J5">
            <v>475000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โครงการติดตามผลกระทบแผ่นดินไหว 7 โครงการ กรุงเทพมหานคร</v>
          </cell>
          <cell r="I5" t="str">
            <v>0700349052410004</v>
          </cell>
          <cell r="J5">
            <v>209500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ซ่อมแซมระบบไฟฟ้าเครื่องมือตรวจวัดพฤติกรรมเขื่อนพร้อมระบบส่งข้อมูลอัตโนมัติเขื่อนแม่ต๋ำ จ.พะเยา</v>
          </cell>
          <cell r="J5">
            <v>1059000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0700349052410002</v>
          </cell>
        </row>
        <row r="6">
          <cell r="E6" t="str">
            <v>ซ่อมแซมระบบไฟฟ้าเครื่องมือตรวจวัดพฤติกรรมเขื่อนพร้อมระบบส่งข้อมูลอัตโนมัติเขื่อนกิ่วคอหมา อ.แจ้ห่ม จ.ลำปาง</v>
          </cell>
          <cell r="I6" t="str">
            <v>0700349052410002</v>
          </cell>
          <cell r="J6">
            <v>216000</v>
          </cell>
        </row>
        <row r="7">
          <cell r="E7" t="str">
            <v>ซ่อมเครื่องมือตรวจวัดพฤติกรรมเขื่อนทำนบดินปิดช่องเขาต่ำเขื่อนกิ่วคอหมา อ.แจ้ห่ม จ.ลำปาง</v>
          </cell>
          <cell r="I7" t="str">
            <v>0700349052410002</v>
          </cell>
          <cell r="J7">
            <v>499000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ซ่อมแซมท่อส่งน้ำบ้านขุนน้ำต้มโครางการหลวงปางค่า ต.ผาช้างน้อย อ.ปง จ.พะเยา</v>
          </cell>
          <cell r="I5" t="str">
            <v>0700340084410158</v>
          </cell>
          <cell r="J5">
            <v>46000</v>
          </cell>
        </row>
        <row r="6">
          <cell r="E6" t="str">
            <v>ซ่อมแซมคลองส่งน้ำสายป้อมตำรวจอ่างเก็บน้ำห้วยม่วง(ห้วยแฮ่)ต.บ้านตุ่น อ.เมือง จ.พะเยา</v>
          </cell>
          <cell r="I6" t="str">
            <v>0700340084410174</v>
          </cell>
          <cell r="J6">
            <v>14000</v>
          </cell>
        </row>
        <row r="7">
          <cell r="E7" t="str">
            <v>ซ่อมแซมคลองส่งน้ำสายทุ่งขามกม.0+800ถึงกม.1+600อ่างเก็บน้ำห้วยไฟ ต.ป่าสัก อ.ภูซาง จ.พะเยา</v>
          </cell>
          <cell r="I7" t="str">
            <v>0700340084410175</v>
          </cell>
          <cell r="J7">
            <v>42000</v>
          </cell>
        </row>
        <row r="8">
          <cell r="E8" t="str">
            <v>ซ่อมแซมคลองส่งน้ำสายงฝายต้นไฮ อ่างเก็บน้ำห้วยไฟ ต.ภูซาง อ.ภูซาง จ.พะเยา</v>
          </cell>
          <cell r="I8" t="str">
            <v>0700340084410176</v>
          </cell>
          <cell r="J8">
            <v>32700</v>
          </cell>
        </row>
        <row r="9">
          <cell r="E9" t="str">
            <v>ซ่อมแซมคลองส่งน้ำสาย2L-LMC-4L-LMCอ่างเก็บน้ำห้วยสา ต.ร่มเย็น อ.เชียงคำ จ.พะเยา</v>
          </cell>
          <cell r="I9" t="str">
            <v>0700340084410177</v>
          </cell>
          <cell r="J9">
            <v>23400</v>
          </cell>
        </row>
        <row r="10">
          <cell r="E10" t="str">
            <v>ซ่อมแซมคลองส่งน้ำสายวังเตากลางอ่างเก็บน้ำร่องส้าน ต.ใหม่ร่มเย็น อ.เชียงคำ จ.พะเยา</v>
          </cell>
          <cell r="I10" t="str">
            <v>0700340084410178</v>
          </cell>
          <cell r="J10">
            <v>23400</v>
          </cell>
        </row>
        <row r="11">
          <cell r="E11" t="str">
            <v>ซ่อมแซมคลองส่งน้ำสายทุ่งกลางอ่างเก็บน้ำห้วยไฟ ต.ภูซาง อ.ภูซาง จ.พะเยา</v>
          </cell>
          <cell r="I11" t="str">
            <v>0700340084410179</v>
          </cell>
          <cell r="J11">
            <v>18600</v>
          </cell>
        </row>
        <row r="12">
          <cell r="E12" t="str">
            <v>ซ่อมแซมคลองส่งน้ำสายทุ่งเหลายาวอ่างเก็บน้ำห้วยยัด ต.แม่ลาว อ.เชียงคำ จ.พะเยา</v>
          </cell>
          <cell r="I12" t="str">
            <v>0700340084410180</v>
          </cell>
          <cell r="J12">
            <v>14100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สถานีสูบน้ำด้วยไฟฟ้าพร้อมระบบส่งน้ำบ้านหนองหอย ต.เวียงมอก อ.เถิน จ.ลำปาง</v>
          </cell>
          <cell r="I5" t="str">
            <v>0700349053420094</v>
          </cell>
          <cell r="J5">
            <v>380000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แก้มลิงฝายร่องไผ่พร้อมอาคารประกอบ ต.ห้วยแก้ว อ.ภูกามยาว จ.พะเยา</v>
          </cell>
          <cell r="I5" t="str">
            <v>0700349053420274</v>
          </cell>
          <cell r="J5">
            <v>400800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อ่างเก็บน้ำน้ำกิ จ.น่าน(ถนนเข้าหัวงาน 8.00กม.)</v>
          </cell>
          <cell r="I5" t="str">
            <v>0700349053420195</v>
          </cell>
          <cell r="J5">
            <v>1143800</v>
          </cell>
        </row>
        <row r="6">
          <cell r="E6" t="str">
            <v>ระบบส่งน้ำและอาคารประกอบโครงการระบายน้ำแม่พริก(ผาวิ่งชู้) ต.แม่พริก อ.แม่พริก จ.ลำปาง(ระบบชลประทานและอาคารประกอบ)</v>
          </cell>
          <cell r="I6" t="str">
            <v>0700349053420195</v>
          </cell>
        </row>
        <row r="7">
          <cell r="E7" t="str">
    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    </cell>
          <cell r="I7" t="str">
            <v>0700349053420195</v>
          </cell>
          <cell r="J7">
            <v>555600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1300100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อ่างเก็บน้ำน้ำกิ จ.น่าน(ถนนเข้าหัวงาน 8.00กม.)</v>
          </cell>
          <cell r="I5" t="str">
            <v>0700349053420194</v>
          </cell>
          <cell r="J5">
            <v>518560</v>
          </cell>
        </row>
        <row r="6">
          <cell r="E6" t="str">
    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    </cell>
          <cell r="I6" t="str">
            <v>0700349053420194</v>
          </cell>
          <cell r="J6">
            <v>1597700</v>
          </cell>
        </row>
        <row r="7">
          <cell r="E7" t="str">
            <v>อ่างเก็บน้ำแม่เมาะ อันเนื่องมาจากพระราชดำริ ต.ปง อ.ปง จ.พะเยา(หัวงานและอาคารประกอบอาคารที่ทำการและบ้านพัก สำรวจปฐพีแหล่งวัสดุ)</v>
          </cell>
          <cell r="I7" t="str">
            <v>0700349053420194</v>
          </cell>
          <cell r="J7">
            <v>1925700</v>
          </cell>
        </row>
        <row r="8">
          <cell r="E8" t="str">
            <v>อ่างเก็บน้ำห้วยแหน ต.ป่าตัน อ.แม่ทะ จ.ลำปาง</v>
          </cell>
          <cell r="I8" t="str">
            <v>0700349053420194</v>
          </cell>
          <cell r="J8">
            <v>814500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9">
          <cell r="E9" t="str">
            <v>อ่างเก็บน้ำห้วยเดื่ออันเนื่องมาจากพระราชดำริ ต.บ้านแลง อ.เมือง จ.ลำปาง</v>
          </cell>
          <cell r="I9" t="str">
            <v>0700349053420194</v>
          </cell>
          <cell r="J9">
            <v>86000</v>
          </cell>
        </row>
        <row r="10">
          <cell r="E10" t="str">
            <v>อ่างเก็บน้ำแม่ยอนตอนบนอันเนื่องมาจากพระราชดำริ ต.สันดอนแก้ว อ.แม่ทะ จ.ลำปาง</v>
          </cell>
          <cell r="J10">
            <v>92000</v>
          </cell>
        </row>
        <row r="11">
          <cell r="E11" t="str">
            <v>อ่างเก็บน้ำห้วยขี้เหล็กอันเนื่องมาจากพระราชดำริ ต.ครั่ง อ.เชียงของ จ.เชียงราย</v>
          </cell>
          <cell r="J11">
            <v>92400</v>
          </cell>
        </row>
        <row r="12">
          <cell r="E12" t="str">
            <v>อ่างเก็บน้ำแม่ทานอันเนื่องมาจากพระราชดำริ ต.แม่ทะ อ.สบปราบ จ.ลำปาง</v>
          </cell>
          <cell r="J12">
            <v>153900</v>
          </cell>
        </row>
        <row r="13">
          <cell r="E13" t="str">
            <v>อ่างเก็บน้ำบ้านแม่แก่ง ต.แม่ถอด อ.เถิน จ.ลำปาง</v>
          </cell>
          <cell r="J13">
            <v>104300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โครงการอ่างเก็บน้ำแม่พริก(ผาวิ่งชู้) จ.ลำปาง(งานปักหลักเขตชลประทาน)</v>
          </cell>
          <cell r="J5">
            <v>342100</v>
          </cell>
        </row>
        <row r="6">
          <cell r="E6" t="str">
            <v>โครงการส่งน้ำและบำรุงรักษากิ่วลม-กิ่งคอหมา จ.ลำปาง(งานซ่อมเขตชลประทาน)</v>
          </cell>
          <cell r="J6">
            <v>1602000</v>
          </cell>
        </row>
        <row r="7">
          <cell r="E7" t="str">
            <v>โครงการชลประทานเชียงราย(โครงการพัฒนาเกษตรแม่สาย) จ.เชียงราย(งานซ่อมเขตชลประทาน)</v>
          </cell>
          <cell r="J7">
            <v>1450000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0700349053200046</v>
          </cell>
        </row>
        <row r="6">
          <cell r="I6" t="str">
            <v>0700349053200046</v>
          </cell>
        </row>
        <row r="7">
          <cell r="I7" t="str">
            <v>0700349053200046</v>
          </cell>
        </row>
        <row r="8">
          <cell r="E8" t="str">
            <v>โครงการระบบชลประทานกิ่วลม 3 (งานซ่อมเขตชลประทาน)</v>
          </cell>
          <cell r="I8" t="str">
            <v>0700349053200046</v>
          </cell>
          <cell r="J8">
            <v>386700</v>
          </cell>
        </row>
        <row r="9">
          <cell r="E9" t="str">
            <v>โครงการอ่างเก็บน้ำห้วยแม่เมาะ อันเนื่องมาจากพระราชดำริ จ.พะเยา(งานปักหลักเขตชลประทาน)</v>
          </cell>
          <cell r="I9" t="str">
            <v>0700349053200046</v>
          </cell>
          <cell r="J9">
            <v>268800</v>
          </cell>
        </row>
        <row r="10">
          <cell r="E10" t="str">
            <v>โครงการประตูระบายน้ำน้ำอิงบ้านร่องวิว จ.เชียงราย(งานรังวัดที่ดินเพื่อการชลประทาน)</v>
          </cell>
          <cell r="I10" t="str">
            <v>0700349053200046</v>
          </cell>
          <cell r="J10">
            <v>40925</v>
          </cell>
        </row>
        <row r="11">
          <cell r="E11" t="str">
            <v>โครงการชลประทานเชียงราย(โครงการฝายเชียงราย) จ.เชียงราย(งานซ่อมเขตชลประทาน)</v>
          </cell>
          <cell r="I11" t="str">
            <v>0700349053200046</v>
          </cell>
          <cell r="J11">
            <v>226175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ค่าใช้จ่ายในการบริหารงานจัดหาที่ดิน  ฝ่ายจัดหาที่ดิน 2</v>
          </cell>
          <cell r="I5" t="str">
            <v>0700349053200062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2654600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ซ่อมแซมคลองส่งน้ำเหมืองนาโฮ่งงฝายลูกที่1 อ่างเก็บน้ำน้ำแก่น(พรด.)ต.น้ำแก่น อ.ภูเพียง จ.น่าน</v>
          </cell>
          <cell r="I5" t="str">
            <v>0700340084410181</v>
          </cell>
          <cell r="J5">
            <v>59400</v>
          </cell>
        </row>
        <row r="6">
          <cell r="E6" t="str">
            <v>ซ่อมแซมคลองส่งน้ำ 1L-LMCฝายน้ำสอด(พรด.)ต.และอ.ทุ่งช้าง จ.น่าน</v>
          </cell>
          <cell r="I6" t="str">
            <v>0700340084410182</v>
          </cell>
        </row>
        <row r="7">
          <cell r="E7" t="str">
            <v>ซ่อมแซมอ่างเก็บน้ำบ้านน้ำว้า(พรด.)ต.น้ำพาง อ.แม่จริม จ.น่าน</v>
          </cell>
          <cell r="I7" t="str">
            <v>0700340084410184</v>
          </cell>
        </row>
        <row r="8">
          <cell r="E8" t="str">
            <v>ซ่อมแซมคลองส่งน้ำ LMCอ่างเก็บน้ำน้ำและ กม.0+500ถึง กม.0+603(พรด.)ต.และ อ.ทุ่งช้าง จ.น่าน</v>
          </cell>
          <cell r="I8" t="str">
            <v>0700340084410187</v>
          </cell>
        </row>
        <row r="9">
          <cell r="E9" t="str">
            <v>ซ่อมแซมคลองส่งน้ำ2R-RMCอ่างเก็บน้ำน้ำปอน กม.1+000ถึงกม.1+125(พรด.)ต.ปอน อ.ทุ่งช้าง จ.น่าน</v>
          </cell>
          <cell r="I9" t="str">
            <v>0700340084410188</v>
          </cell>
        </row>
        <row r="10">
          <cell r="E10" t="str">
            <v>ซ่อมแซมระบบส่งน้ำฝั่งขวาฝายน้ำอวน(พรด.) ต.อวน อ.ปัว จ.น่าน</v>
          </cell>
          <cell r="I10" t="str">
            <v>0700340084410189</v>
          </cell>
          <cell r="J10">
            <v>41300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ฝายห้วยธนูพร้อมระบบส่งน้ำ ต.ตาลชุม อ.ท่าวังผ่า จ.น่าน</v>
          </cell>
          <cell r="I5" t="str">
            <v>0700349053420009</v>
          </cell>
          <cell r="J5">
            <v>303000</v>
          </cell>
        </row>
        <row r="6">
          <cell r="E6" t="str">
            <v>ฝายห้วยป้าก 1 พร้อมระบบส่งน้ำ ต.ตาลชุม อ.ท่าวังผา จ.น่าน</v>
          </cell>
          <cell r="I6" t="str">
            <v>0700349053420010</v>
          </cell>
          <cell r="J6">
            <v>357500</v>
          </cell>
        </row>
        <row r="7">
          <cell r="E7" t="str">
            <v>ฝายห้วยป้าก 2 พร้อมระบบส่งน้ำ ต.ตาลชุม อ.ท่าวังผา จ.น่าน</v>
          </cell>
          <cell r="I7" t="str">
            <v>0700349053420011</v>
          </cell>
          <cell r="J7">
            <v>231200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เขื่อนหัวงานและอาคารประกอบพร้อมส่วนประกอบอื่นโครงการปับปรุงเขื่อนแม่สรวย จ.เชียงราย</v>
          </cell>
          <cell r="I5" t="str">
            <v>0700349054420038</v>
          </cell>
          <cell r="J5">
            <v>29090300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0700349054420039</v>
          </cell>
          <cell r="J6">
            <v>398100</v>
          </cell>
        </row>
        <row r="7">
          <cell r="E7" t="str">
    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7" t="str">
            <v>0700349054410024</v>
          </cell>
          <cell r="J7">
            <v>509100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ปรับปรุงขยายทางระบายน้ำพร้อมอาคารประกอบแม่น้ำวังด้านท้ายเขื่อนกิ่วลม(ระยะที่2)ต.บ้านแลง อ.เมือง จ.ลำปาง</v>
          </cell>
          <cell r="I5" t="str">
            <v>0700349054420060</v>
          </cell>
        </row>
        <row r="6">
          <cell r="E6" t="str">
            <v>ปรับปรุงขยายทางระบายน้ำพร้อมอาคารประกอบท้ายเขื่อนโครงการส่งน้ำและบำรุงรักษากิ่วลม-กิ่วคอหมา จ.ลำปาง</v>
          </cell>
          <cell r="I6" t="str">
            <v>0700349054420119</v>
          </cell>
        </row>
        <row r="7">
          <cell r="E7" t="str">
            <v>จัดหาและติดตั้งเครื่องมือตรวจวัดพฤติกรรมเขื่อนอ่างเก็บน้ำห้วยแม่แก่ง ต.แม่ถอด อ.เถิน จ.ลำปาง</v>
          </cell>
          <cell r="I7" t="str">
            <v>0700349054410001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640000</v>
          </cell>
        </row>
        <row r="6">
          <cell r="J6">
            <v>963000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J7">
            <v>313951</v>
          </cell>
        </row>
        <row r="8">
          <cell r="J8">
            <v>1679900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อาคารป้องกันตลิ่งท้ายอ่างเก็บน้ำน้ำพง ระยะ 2 ต.พงษ์ อ.สันติสุข จ.น่าน</v>
          </cell>
          <cell r="I5" t="str">
            <v>0700349054420116</v>
          </cell>
          <cell r="J5">
            <v>1030000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สถานีสูบน้ำด้วยไฟฟ้าพร้อมระบบส่งน้ำบ้านหัวเสือ 2 (จัดหาน้ำสนับสนุนเกษตรแปลงใหญ่ต้นแบบ จังหวัดลำปาง ต.หัวเสือ อ.มาทะ จ.ลำปาง</v>
          </cell>
          <cell r="I5" t="str">
            <v>07003280A5420018</v>
          </cell>
          <cell r="J5">
            <v>607300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ฝายสบสถานพร้อมระบบส่งน้ำ ต.บัวใหญ่ อ.นาน้อย จ.น่าน</v>
          </cell>
          <cell r="I5" t="str">
            <v>07003280A5420007</v>
          </cell>
          <cell r="J5">
            <v>390000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สำนักงาชลประทานที่ 2 ต.สวนดอก จ.ลำปาง</v>
          </cell>
          <cell r="I5" t="str">
            <v>0700356001410094</v>
          </cell>
          <cell r="J5">
            <v>1000000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ปรับปรุงสะพานคอนกรีตเสริมเหล็กคลอง RMCกิ่วลม กม.8+204 โครงการส่งน้ำและบำรุงรักษากิ่วลม-กิ่วคอหมา ต.บุญนาคพัฒนา อ.เมือง จ.ลำปาง</v>
          </cell>
          <cell r="I5" t="str">
            <v>0700356001410001</v>
          </cell>
          <cell r="J5">
            <v>108000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38000</v>
          </cell>
        </row>
        <row r="7">
          <cell r="J7">
            <v>42100</v>
          </cell>
        </row>
        <row r="8">
          <cell r="J8">
            <v>38000</v>
          </cell>
        </row>
        <row r="9">
          <cell r="J9">
            <v>38000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 สำนักงานชลประทานที่ 2 ต.ชมพู อ.เมือง จ.ลำปาง</v>
          </cell>
          <cell r="I5" t="str">
            <v>0700356001110002</v>
          </cell>
          <cell r="J5">
            <v>451000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ค่ารังวัดและออกหนังสือสำคัญที่หลวง(งานซ่อมเขตชลประทาน)</v>
          </cell>
          <cell r="I5" t="str">
            <v>0700349056200002</v>
          </cell>
          <cell r="J5">
            <v>217200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909094001564</v>
          </cell>
          <cell r="J5">
            <v>39765000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กำจัดวัชพืชภายในอ่างเก็บน้ำเขื่อนกิ่วลม โครงการส่งน้ำและบำรุงรักษากิ่วลม-กิ่วคอหมา ต.บ้านแลง อ.เมือง จ.ลำปาง</v>
          </cell>
          <cell r="I5" t="str">
            <v>0700356001410669</v>
          </cell>
          <cell r="J5">
            <v>547565.55000000005</v>
          </cell>
        </row>
        <row r="6">
          <cell r="E6" t="str">
            <v>กำจัดวัชพืชโครงการส่งน้ำและบำรุงรักษาแม่วัง ต.บ้านแลง อ.เมือง จ.ลำปาง</v>
          </cell>
          <cell r="I6" t="str">
            <v>0700356001410668</v>
          </cell>
          <cell r="J6">
            <v>692000</v>
          </cell>
        </row>
        <row r="7">
          <cell r="E7" t="str">
            <v>กำจัดวัชพืชคลองระบายห้วยผาตันโครงการส่งน้ำและบำรุงรักษากิ่วลม-กิ่วคอหมา ต.บุญนาคพัฒนา อ.เมือง จ.ลำปาง</v>
          </cell>
          <cell r="I7" t="str">
            <v>0700356001410670</v>
          </cell>
          <cell r="J7">
            <v>82000</v>
          </cell>
        </row>
        <row r="8">
          <cell r="E8" t="str">
            <v>กำจัดวัชพืชคลองระบายห้วยหลวงโครงการส่งน้ำและบำรุงรักษากิ่วลม-กิ่วคอหมา ต.บุญนาคพัฒนา อ.เมือง จ.ลำปาง</v>
          </cell>
          <cell r="I8" t="str">
            <v>0700356001410671</v>
          </cell>
          <cell r="J8">
            <v>109000</v>
          </cell>
        </row>
        <row r="9">
          <cell r="E9" t="str">
            <v>กำจัดวัชพืชคลองระบายห้วยแม่ตุ๋ยโครงการส่งน้ำและบำรุงรักษากิ่วลม-กิ่วคอหมา ต.บ้านเป้า อ.เมือง จ.ลำปาง</v>
          </cell>
          <cell r="I9" t="str">
            <v>0700356001410672</v>
          </cell>
          <cell r="J9">
            <v>173000</v>
          </cell>
        </row>
        <row r="10">
          <cell r="E10" t="str">
            <v>กำจัดวัชพืชบริเวณโครงการส่งน้ำและบำรุงรักษาแม่ลาว ต.ดงมะดะ อ.แม่ลาว จ.เชียงราย</v>
          </cell>
          <cell r="I10" t="str">
            <v>0700356001410673</v>
          </cell>
          <cell r="J10">
            <v>692000</v>
          </cell>
        </row>
        <row r="11">
          <cell r="E11" t="str">
            <v>กำจัดวัชพืชโครงการชลประทานน่าน ต.ไชยสถาน อ.เมือง จ.น่าน</v>
          </cell>
          <cell r="I11" t="str">
            <v>0700356001410674</v>
          </cell>
          <cell r="J11">
            <v>486000</v>
          </cell>
        </row>
        <row r="12">
          <cell r="E12" t="str">
            <v>กำจัดวัชพืชบริเวณโครงการชลประทานลำปาง ต.บ่อแฮ้ว อ.เมือง จ.ลำปาง</v>
          </cell>
          <cell r="I12" t="str">
            <v>0700356001410675</v>
          </cell>
          <cell r="J12">
            <v>609000</v>
          </cell>
        </row>
        <row r="13">
          <cell r="E13" t="str">
            <v>กำจัดวัชพืชโครงการพัฒนาการเกษตรแม่สาย โครงการชลประทานเชียงราย ต.แม่สาย อ.แม่สาย จ.เชียงราย</v>
          </cell>
          <cell r="I13" t="str">
            <v>0700356001410B74</v>
          </cell>
          <cell r="J13">
            <v>325000</v>
          </cell>
        </row>
        <row r="14">
          <cell r="E14" t="str">
            <v>กำจัดวัชพืชคลอง LMCอ่างเก็บน้ำแม่ต๊าก โครงการชลประทานเชียงราย ต.ดอนศิลา อ.เวียงชัย จ.เชียงราย</v>
          </cell>
          <cell r="I14" t="str">
            <v>0700356001410B75</v>
          </cell>
          <cell r="J14">
            <v>173000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ขุดลอกคลองโดยรถขุดดำเนินการเองคลองส่งน้ำแม่วังฝั่งขวาโครงการส่งน้ำและบำรุงรักษาแม่วัง จ.ลำปาง</v>
          </cell>
          <cell r="I5" t="str">
            <v>0700349052410W61</v>
          </cell>
          <cell r="J5">
            <v>117100</v>
          </cell>
        </row>
        <row r="6">
          <cell r="E6" t="str">
            <v>ขุดลอกคลองโดยเรือขุดดำเนินการเอง แม่น้ำวังท้ายเขื่อนกิ่วคอหมา กม.19+000 - กม.24+500 โครงการส่งน่ำน้ำบำรุงรักษากิ่วลม กิ่วคอหมา ต.บ้านสา อ.แจ้ห่ม จ.ลำปาง</v>
          </cell>
          <cell r="I6" t="str">
            <v>0700349052410W13</v>
          </cell>
          <cell r="J6">
            <v>7100000</v>
          </cell>
        </row>
        <row r="7">
          <cell r="E7" t="str">
            <v>เพิ่มประสิทธิภาพการกักเก็บน้ำอ่างเก็บน้ำเขื่อนกิ่วลม จ.ลำปาง</v>
          </cell>
          <cell r="I7" t="str">
            <v>0700349052410ZJ1</v>
          </cell>
          <cell r="J7">
            <v>1779770</v>
          </cell>
        </row>
        <row r="8">
          <cell r="E8" t="str">
            <v>เพิ่มประสิทธิภาพการกักเก็บน้ำเขื่อนกิ่วลม จ.ลำปาง</v>
          </cell>
          <cell r="I8" t="str">
            <v>0700349052410ZJ3</v>
          </cell>
          <cell r="J8">
            <v>1779770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เพิ่มประสิทธิภาพการกักเก็บน้ำเขื่อนกิ่วลม จ.ลำปาง</v>
          </cell>
          <cell r="I5" t="str">
            <v>0700349054410116</v>
          </cell>
          <cell r="J5">
            <v>6396000</v>
          </cell>
        </row>
        <row r="6">
          <cell r="E6" t="str">
            <v>กำจัดสิ่งกีดขวางทางน้ำแม่วังด้านท้ายเขื่อนกิ่วคอหมา จ.ลำปาง</v>
          </cell>
          <cell r="I6" t="str">
            <v>0700349054410066</v>
          </cell>
          <cell r="J6">
            <v>7235770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ฝายต้นลำใยพร้อมระบบส่งน้ำ  ต.เสริมขวา อ.เสริมงาม จ.ลำปาง</v>
          </cell>
          <cell r="I5" t="str">
            <v>0700349053420008</v>
          </cell>
          <cell r="J5">
            <v>23049063.850000001</v>
          </cell>
        </row>
        <row r="6">
          <cell r="E6" t="str">
            <v>ฝายห้วยพระเจ้าพร้อมระบบส่งน้ำ ต.แม่สุก อ.แจ้ห่ม จ.ลำปาง</v>
          </cell>
          <cell r="I6" t="str">
            <v>0700349053420007</v>
          </cell>
        </row>
      </sheetData>
      <sheetData sheetId="1"/>
      <sheetData sheetId="2">
        <row r="96">
          <cell r="D96">
            <v>21504600</v>
          </cell>
        </row>
        <row r="331">
          <cell r="D331">
            <v>-727203.75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ห้วยเตึย"/>
    </sheetNames>
    <sheetDataSet>
      <sheetData sheetId="0">
        <row r="5">
          <cell r="E5" t="str">
            <v>ฝายห้วยเตียพร้อมระบบส่งน้ำ ต.แม่สุก อ.แจ้ห่ม จ.ลำปาง</v>
          </cell>
          <cell r="I5" t="str">
            <v>07003280A5420006</v>
          </cell>
          <cell r="J5">
            <v>41820259.049999997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0700345054410026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0700345054420038</v>
          </cell>
        </row>
        <row r="6">
          <cell r="E6" t="str">
            <v>ค่าจ้าง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0700345054420039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ปรับปรุงระบบส่งน้ำงายสวยโฮ่ง ระยะ2 ต.นาโป่ง อ.เถิน จ.ลำปาง</v>
          </cell>
          <cell r="I5" t="str">
            <v>0700340084410436</v>
          </cell>
          <cell r="J5">
            <v>179000</v>
          </cell>
        </row>
        <row r="6">
          <cell r="E6" t="str">
            <v>ระบบส่งน้ำอ่างเก็บน้ำแม่ไพร(ฝายทุ่งเก้ามุ่น) ต.วอแก้ว อ.ห้างฉัตร จ.ลำปาง</v>
          </cell>
          <cell r="I6" t="str">
            <v>0700340084410437</v>
          </cell>
          <cell r="J6">
            <v>211000</v>
          </cell>
        </row>
        <row r="7">
          <cell r="E7" t="str">
            <v>ระบบส่งน้ำอ่างเก็บน้ำแม่แมะ ต.เมืองปาน อ.เมืองปาน จ.ลำปาง</v>
          </cell>
          <cell r="I7" t="str">
            <v>0700340084420017</v>
          </cell>
          <cell r="J7">
            <v>465000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ค่าควบคุมงานจ้างเหมาโครงการปรับปรุงเขื่อนแม่สรวย จ.เชียงราย</v>
          </cell>
          <cell r="I5" t="str">
            <v>0700341029410043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7" t="str">
            <v>0700341029420135</v>
          </cell>
        </row>
        <row r="8">
          <cell r="E8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8" t="str">
            <v>0700341029420076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โครงการฝายแม่อางบ้านน้ำล้อมอันเนื่องมาจากพระราชดำริ อ.เมือง จ.ลำปาง</v>
          </cell>
          <cell r="I5" t="str">
            <v>9090938015E8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โครงการอ่างเก็บน้ำห้วยเฮี้ยพร้อมระบบส่งน้ำอันเนื่องมาจากพระราชดำริ อ.เมือง จ.ลำปาง</v>
          </cell>
          <cell r="I5" t="str">
            <v>9090938015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เพิ่มประสิทธิภาพการกักเก็บน้ำอ่างเก็บน้ำเขื่อนกิ่วลม จ.ลำปาง</v>
          </cell>
        </row>
        <row r="7">
          <cell r="E7" t="str">
            <v>กำจัดสิ่งกีดขวางทางแม่น้ำวังด้านท้ายเขื่อนกิ่วคอหมา จ.ลำปาง</v>
          </cell>
        </row>
        <row r="8">
          <cell r="E8" t="str">
            <v>เพิ่มประสิทธิภาพการกักเก็บน้ำเขื่อนกิ่วลม จ.ลำปาง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07003630X1410B99</v>
          </cell>
        </row>
        <row r="6">
          <cell r="I6" t="str">
            <v>07003630X1410C04</v>
          </cell>
        </row>
        <row r="7">
          <cell r="I7" t="str">
            <v>07003630X1410C05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งานถังพักน้ำอ่างเก็บน้ำห้วยสร้อยศรี ต.จุน อ.จุน จ.พะเยา</v>
          </cell>
          <cell r="I5" t="str">
            <v>0700340084410438</v>
          </cell>
          <cell r="J5">
            <v>37000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ระบบส่งน้ำฝั่งขวานาสาโครงการพัฒนาพื้นที่สูงแบบโครงการหลวงแม่จริม ต.แม่จริม อ.แม่จริม จ.น่าน</v>
          </cell>
          <cell r="I5" t="str">
            <v>0700340084420008</v>
          </cell>
          <cell r="J5">
            <v>405000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E6" t="str">
            <v>ฝายห้วยแฮต2 พร้อมระบบส่งน้ำโครงการพัฒนาพื้นที่สูงแบบโครงการหลวงสะเนียน ต.สะเนียน อ.เมือง จ.น่าน</v>
          </cell>
          <cell r="I6" t="str">
            <v>0700340084410421</v>
          </cell>
          <cell r="J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90"/>
  <sheetViews>
    <sheetView zoomScale="115" zoomScaleNormal="115" workbookViewId="0">
      <pane ySplit="4" topLeftCell="A5" activePane="bottomLeft" state="frozen"/>
      <selection pane="bottomLeft" activeCell="B11" sqref="B11"/>
    </sheetView>
  </sheetViews>
  <sheetFormatPr defaultColWidth="9" defaultRowHeight="23.25" x14ac:dyDescent="0.5"/>
  <cols>
    <col min="1" max="1" width="4.625" style="1" customWidth="1"/>
    <col min="2" max="2" width="87.75" style="1" customWidth="1"/>
    <col min="3" max="3" width="15.5" style="14" customWidth="1"/>
    <col min="4" max="4" width="7.75" style="14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6.875" style="1" customWidth="1"/>
    <col min="10" max="10" width="12.125" style="1" customWidth="1"/>
    <col min="11" max="11" width="13" style="1" customWidth="1"/>
    <col min="12" max="12" width="13.375" style="1" hidden="1" customWidth="1"/>
    <col min="13" max="13" width="7.125" style="1" hidden="1" customWidth="1"/>
    <col min="14" max="15" width="13.25" style="1" hidden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21" width="9" style="1"/>
    <col min="22" max="22" width="20.25" style="1" customWidth="1"/>
    <col min="23" max="16384" width="9" style="1"/>
  </cols>
  <sheetData>
    <row r="1" spans="1:22" ht="33" customHeight="1" x14ac:dyDescent="0.6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2" x14ac:dyDescent="0.5">
      <c r="A2" s="90" t="s">
        <v>0</v>
      </c>
      <c r="B2" s="91"/>
      <c r="C2" s="25"/>
      <c r="D2" s="94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2" ht="26.25" customHeight="1" x14ac:dyDescent="0.5">
      <c r="A3" s="92"/>
      <c r="B3" s="93"/>
      <c r="C3" s="26"/>
      <c r="D3" s="9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  <c r="T3" s="16">
        <f>P4+H4</f>
        <v>77544395</v>
      </c>
    </row>
    <row r="4" spans="1:22" ht="30.75" customHeight="1" x14ac:dyDescent="0.5">
      <c r="A4" s="4"/>
      <c r="B4" s="4" t="s">
        <v>17</v>
      </c>
      <c r="C4" s="4"/>
      <c r="D4" s="4"/>
      <c r="E4" s="5">
        <f t="shared" ref="E4" si="0">F4+G4</f>
        <v>77544395</v>
      </c>
      <c r="F4" s="5">
        <f>F5+F42+F131+F162+F173+F176+F180</f>
        <v>31619300</v>
      </c>
      <c r="G4" s="5">
        <f>G5+G42+G131+G162+G173+G176+G180</f>
        <v>45925095</v>
      </c>
      <c r="H4" s="5">
        <f t="shared" ref="H4" si="1">J4+K4</f>
        <v>24268328.16</v>
      </c>
      <c r="I4" s="5">
        <f>H4*100/E4</f>
        <v>31.296044233757964</v>
      </c>
      <c r="J4" s="5">
        <f>J5+J42+J131+J162+J173+J176+J180</f>
        <v>0</v>
      </c>
      <c r="K4" s="5">
        <f>K5+K42+K131+K162+K173+K176+K180</f>
        <v>24268328.16</v>
      </c>
      <c r="L4" s="5">
        <f>N4+O4</f>
        <v>0</v>
      </c>
      <c r="M4" s="5">
        <f>L4*100/E4</f>
        <v>0</v>
      </c>
      <c r="N4" s="5">
        <f>N5+N42+N131+N162+N173+N176</f>
        <v>0</v>
      </c>
      <c r="O4" s="5">
        <f>O5+O42+O131+O162+O173+O176</f>
        <v>0</v>
      </c>
      <c r="P4" s="5">
        <f>E4-H4-L4</f>
        <v>53276066.840000004</v>
      </c>
      <c r="Q4" s="5">
        <f>P4*100/E4</f>
        <v>68.703955766242032</v>
      </c>
      <c r="R4" s="5">
        <f t="shared" ref="R4" si="2">F4-J4-N4</f>
        <v>31619300</v>
      </c>
      <c r="S4" s="5">
        <f>G4-K4-O4</f>
        <v>21656766.84</v>
      </c>
      <c r="T4" s="16">
        <f>I4+M4+Q4</f>
        <v>100</v>
      </c>
    </row>
    <row r="5" spans="1:22" ht="30" customHeight="1" x14ac:dyDescent="0.5">
      <c r="A5" s="10"/>
      <c r="B5" s="20" t="s">
        <v>21</v>
      </c>
      <c r="C5" s="20"/>
      <c r="D5" s="23"/>
      <c r="E5" s="21">
        <f>G5+F5</f>
        <v>2041400</v>
      </c>
      <c r="F5" s="22">
        <f>F6+F17+F26+F33+F37+F39</f>
        <v>0</v>
      </c>
      <c r="G5" s="21">
        <f>G6+G17+G26+G33+G37+G39</f>
        <v>2041400</v>
      </c>
      <c r="H5" s="22">
        <f>K5+J5</f>
        <v>1268651.74</v>
      </c>
      <c r="I5" s="22">
        <f>H5*100/E5</f>
        <v>62.146161457823062</v>
      </c>
      <c r="J5" s="22">
        <f>J6+J17+J26+J33+J37+J39</f>
        <v>0</v>
      </c>
      <c r="K5" s="22">
        <f>K6+K17+K26+K33+K37+K39</f>
        <v>1268651.74</v>
      </c>
      <c r="L5" s="22">
        <f>O5+N5</f>
        <v>0</v>
      </c>
      <c r="M5" s="20"/>
      <c r="N5" s="22">
        <f>N6+N17+N26+N33+N37+N39</f>
        <v>0</v>
      </c>
      <c r="O5" s="22">
        <f>O6+O17+O26+O33+O37+O39</f>
        <v>0</v>
      </c>
      <c r="P5" s="22">
        <f>S5+R5</f>
        <v>772748.26</v>
      </c>
      <c r="Q5" s="21">
        <f>P5*100/E5</f>
        <v>37.853838542176938</v>
      </c>
      <c r="R5" s="22">
        <f>F5-J5-N5</f>
        <v>0</v>
      </c>
      <c r="S5" s="22">
        <f>G5-K5-O5</f>
        <v>772748.26</v>
      </c>
      <c r="T5" s="16">
        <f>Q5+I5</f>
        <v>100</v>
      </c>
      <c r="V5" s="16"/>
    </row>
    <row r="6" spans="1:22" ht="28.5" customHeight="1" x14ac:dyDescent="0.5">
      <c r="A6" s="9"/>
      <c r="B6" s="18" t="s">
        <v>22</v>
      </c>
      <c r="C6" s="24"/>
      <c r="D6" s="24"/>
      <c r="E6" s="19">
        <f>F6+G6</f>
        <v>273400</v>
      </c>
      <c r="F6" s="19">
        <f>SUM(F7:F15)</f>
        <v>0</v>
      </c>
      <c r="G6" s="19">
        <f>SUM(G7:G16)</f>
        <v>273400</v>
      </c>
      <c r="H6" s="19">
        <f>J6+K6</f>
        <v>191574.23</v>
      </c>
      <c r="I6" s="19">
        <f>H6*100/E6</f>
        <v>70.071042428675938</v>
      </c>
      <c r="J6" s="19">
        <f>SUM(J7:J15)</f>
        <v>0</v>
      </c>
      <c r="K6" s="19">
        <f>SUM(K7:K16)</f>
        <v>191574.23</v>
      </c>
      <c r="L6" s="19">
        <f>N6+O6</f>
        <v>0</v>
      </c>
      <c r="M6" s="19">
        <f>L6*100/E6</f>
        <v>0</v>
      </c>
      <c r="N6" s="19">
        <f>SUM(N7:N15)</f>
        <v>0</v>
      </c>
      <c r="O6" s="19">
        <f>SUM(O7:O15)</f>
        <v>0</v>
      </c>
      <c r="P6" s="19">
        <f t="shared" ref="P6" si="3">R6+S6</f>
        <v>81825.76999999999</v>
      </c>
      <c r="Q6" s="19">
        <f>P6*100/E6</f>
        <v>29.928957571324062</v>
      </c>
      <c r="R6" s="19">
        <f t="shared" ref="R6" si="4">F6-J6-N6</f>
        <v>0</v>
      </c>
      <c r="S6" s="19">
        <f t="shared" ref="S6" si="5">G6-K6-O6</f>
        <v>81825.76999999999</v>
      </c>
      <c r="T6" s="16"/>
      <c r="V6" s="16"/>
    </row>
    <row r="7" spans="1:22" s="46" customFormat="1" ht="33" customHeight="1" x14ac:dyDescent="0.5">
      <c r="A7" s="44">
        <v>1</v>
      </c>
      <c r="B7" s="39" t="str">
        <f>[1]รายการสรุป!$E$5</f>
        <v>ซ่อมแซมทางระบายน้ำอ่างเก็บน้ำแพะทุ่งกว๋าว(อันเนื่องมาจากพระราชดำริ)ต.ทุ่งกว๋าว อ.เมืองปาน จ.ลำปาง</v>
      </c>
      <c r="C7" s="39" t="str">
        <f>[1]รายการสรุป!$I$5</f>
        <v>0700340084410148</v>
      </c>
      <c r="D7" s="29" t="s">
        <v>23</v>
      </c>
      <c r="E7" s="52">
        <f t="shared" ref="E7" si="6">F7+G7</f>
        <v>5000</v>
      </c>
      <c r="F7" s="52">
        <v>0</v>
      </c>
      <c r="G7" s="53">
        <f>[1]รายการสรุป!$J$5</f>
        <v>5000</v>
      </c>
      <c r="H7" s="52">
        <f t="shared" ref="H7" si="7">J7+K7</f>
        <v>4957</v>
      </c>
      <c r="I7" s="52">
        <f t="shared" ref="I7" si="8">H7*100/E7</f>
        <v>99.14</v>
      </c>
      <c r="J7" s="52">
        <v>0</v>
      </c>
      <c r="K7" s="52">
        <f>1280+2397+1280</f>
        <v>4957</v>
      </c>
      <c r="L7" s="52">
        <f t="shared" ref="L7" si="9">N7+O7</f>
        <v>0</v>
      </c>
      <c r="M7" s="52">
        <f t="shared" ref="M7" si="10">L7*100/E7</f>
        <v>0</v>
      </c>
      <c r="N7" s="52">
        <v>0</v>
      </c>
      <c r="O7" s="52">
        <v>0</v>
      </c>
      <c r="P7" s="52">
        <f t="shared" ref="P7" si="11">R7+S7</f>
        <v>43</v>
      </c>
      <c r="Q7" s="52">
        <f t="shared" ref="Q7" si="12">P7*100/E7</f>
        <v>0.86</v>
      </c>
      <c r="R7" s="52">
        <f t="shared" ref="R7" si="13">F7-J7-N7</f>
        <v>0</v>
      </c>
      <c r="S7" s="52">
        <f t="shared" ref="S7" si="14">G7-K7-O7</f>
        <v>43</v>
      </c>
      <c r="T7" s="45"/>
    </row>
    <row r="8" spans="1:22" ht="30" customHeight="1" x14ac:dyDescent="0.5">
      <c r="A8" s="9">
        <v>2</v>
      </c>
      <c r="B8" s="11" t="str">
        <f>[1]รายการสรุป!$E$6</f>
        <v>ซ่อมแซมคลองส่งน้ำอ่างเก็บน้ำแม่ไพร(เหมืองทุ่งโฮ้ง)ต.วอแก้ว อ.ห้างฉัตร จ.ลำปาง</v>
      </c>
      <c r="C8" s="11" t="str">
        <f>[1]รายการสรุป!$I$6</f>
        <v>0700340084410149</v>
      </c>
      <c r="D8" s="29" t="s">
        <v>23</v>
      </c>
      <c r="E8" s="52">
        <f t="shared" ref="E8:E15" si="15">F8+G8</f>
        <v>38000</v>
      </c>
      <c r="F8" s="52">
        <v>0</v>
      </c>
      <c r="G8" s="53">
        <f>[1]รายการสรุป!$J$6</f>
        <v>38000</v>
      </c>
      <c r="H8" s="52">
        <f t="shared" ref="H8:H15" si="16">J8+K8</f>
        <v>37495.730000000003</v>
      </c>
      <c r="I8" s="52">
        <f t="shared" ref="I8:I15" si="17">H8*100/E8</f>
        <v>98.672973684210532</v>
      </c>
      <c r="J8" s="52">
        <v>0</v>
      </c>
      <c r="K8" s="52">
        <f>10095+7349.01+3606+5880+10565.72</f>
        <v>37495.730000000003</v>
      </c>
      <c r="L8" s="52">
        <f t="shared" ref="L8:L15" si="18">N8+O8</f>
        <v>0</v>
      </c>
      <c r="M8" s="52">
        <f t="shared" ref="M8:M15" si="19">L8*100/E8</f>
        <v>0</v>
      </c>
      <c r="N8" s="52">
        <v>0</v>
      </c>
      <c r="O8" s="52">
        <v>0</v>
      </c>
      <c r="P8" s="52">
        <f t="shared" ref="P8:P18" si="20">R8+S8</f>
        <v>504.2699999999968</v>
      </c>
      <c r="Q8" s="52">
        <f t="shared" ref="Q8:Q15" si="21">P8*100/E8</f>
        <v>1.3270263157894653</v>
      </c>
      <c r="R8" s="52">
        <f t="shared" ref="R8:R18" si="22">F8-J8-N8</f>
        <v>0</v>
      </c>
      <c r="S8" s="52">
        <f t="shared" ref="S8:S18" si="23">G8-K8-O8</f>
        <v>504.2699999999968</v>
      </c>
    </row>
    <row r="9" spans="1:22" ht="30.75" customHeight="1" x14ac:dyDescent="0.5">
      <c r="A9" s="9">
        <v>3</v>
      </c>
      <c r="B9" s="11" t="str">
        <f>[1]รายการสรุป!$E$7</f>
        <v>ซ่อมแซมระบบส่งน้ำฝั่งซ้ายอ่างเก็บน้ำแม่ตา ต.ปงดอน อ.แจ้ห่ม จ.ลำปาง</v>
      </c>
      <c r="C9" s="11" t="str">
        <f>[1]รายการสรุป!$I$7</f>
        <v>0700340084410150</v>
      </c>
      <c r="D9" s="29" t="s">
        <v>23</v>
      </c>
      <c r="E9" s="52">
        <f t="shared" si="15"/>
        <v>28000</v>
      </c>
      <c r="F9" s="52">
        <v>0</v>
      </c>
      <c r="G9" s="53">
        <f>[1]รายการสรุป!$J$7</f>
        <v>28000</v>
      </c>
      <c r="H9" s="52">
        <f t="shared" si="16"/>
        <v>15930</v>
      </c>
      <c r="I9" s="52">
        <f t="shared" si="17"/>
        <v>56.892857142857146</v>
      </c>
      <c r="J9" s="52">
        <v>0</v>
      </c>
      <c r="K9" s="52">
        <f>6480+2320+7130</f>
        <v>15930</v>
      </c>
      <c r="L9" s="52">
        <f t="shared" si="18"/>
        <v>0</v>
      </c>
      <c r="M9" s="52">
        <f t="shared" si="19"/>
        <v>0</v>
      </c>
      <c r="N9" s="52">
        <v>0</v>
      </c>
      <c r="O9" s="52">
        <v>0</v>
      </c>
      <c r="P9" s="52">
        <f t="shared" si="20"/>
        <v>12070</v>
      </c>
      <c r="Q9" s="52">
        <f t="shared" si="21"/>
        <v>43.107142857142854</v>
      </c>
      <c r="R9" s="52">
        <f t="shared" si="22"/>
        <v>0</v>
      </c>
      <c r="S9" s="52">
        <f t="shared" si="23"/>
        <v>12070</v>
      </c>
      <c r="T9" s="16">
        <f>I9+M9+Q9</f>
        <v>100</v>
      </c>
    </row>
    <row r="10" spans="1:22" ht="30" customHeight="1" x14ac:dyDescent="0.5">
      <c r="A10" s="9">
        <v>4</v>
      </c>
      <c r="B10" s="11" t="str">
        <f>[1]รายการสรุป!$E$8</f>
        <v>ซ่อมแซมระบบส่งน้ำฝั่งซ้ายอ่างเก็บน้ำแม่ยาว ต.แม่สัน อ.ห้างฉัตร จ.ลำปาง</v>
      </c>
      <c r="C10" s="11" t="str">
        <f>[1]รายการสรุป!$I$8</f>
        <v>0700340084410152</v>
      </c>
      <c r="D10" s="29" t="s">
        <v>23</v>
      </c>
      <c r="E10" s="52">
        <f t="shared" si="15"/>
        <v>42000</v>
      </c>
      <c r="F10" s="52">
        <v>0</v>
      </c>
      <c r="G10" s="53">
        <f>[1]รายการสรุป!$J$8</f>
        <v>42000</v>
      </c>
      <c r="H10" s="52">
        <f t="shared" si="16"/>
        <v>41736.100000000006</v>
      </c>
      <c r="I10" s="52">
        <f t="shared" si="17"/>
        <v>99.371666666666684</v>
      </c>
      <c r="J10" s="52">
        <v>0</v>
      </c>
      <c r="K10" s="52">
        <f>5590+8728.7+17457.4+4721+1280+3959</f>
        <v>41736.100000000006</v>
      </c>
      <c r="L10" s="52">
        <f t="shared" si="18"/>
        <v>0</v>
      </c>
      <c r="M10" s="52">
        <f t="shared" si="19"/>
        <v>0</v>
      </c>
      <c r="N10" s="52">
        <v>0</v>
      </c>
      <c r="O10" s="52">
        <v>0</v>
      </c>
      <c r="P10" s="52">
        <f t="shared" si="20"/>
        <v>263.89999999999418</v>
      </c>
      <c r="Q10" s="52">
        <f t="shared" si="21"/>
        <v>0.62833333333331942</v>
      </c>
      <c r="R10" s="52">
        <f t="shared" si="22"/>
        <v>0</v>
      </c>
      <c r="S10" s="52">
        <f t="shared" si="23"/>
        <v>263.89999999999418</v>
      </c>
    </row>
    <row r="11" spans="1:22" ht="30" customHeight="1" x14ac:dyDescent="0.5">
      <c r="A11" s="9">
        <v>5</v>
      </c>
      <c r="B11" s="11" t="str">
        <f>[1]รายการสรุป!$E$9</f>
        <v>ซ่อมแซมระบบส่งน้ำฝายน้ำงาว ต.หลวงเหนือ อ.งาว จ.ลำปาง</v>
      </c>
      <c r="C11" s="11" t="str">
        <f>[1]รายการสรุป!$I$9</f>
        <v>0700340084410153</v>
      </c>
      <c r="D11" s="29" t="s">
        <v>23</v>
      </c>
      <c r="E11" s="52">
        <f t="shared" si="15"/>
        <v>39900</v>
      </c>
      <c r="F11" s="52">
        <v>0</v>
      </c>
      <c r="G11" s="53">
        <f>[1]รายการสรุป!$J$9</f>
        <v>39900</v>
      </c>
      <c r="H11" s="52">
        <f>J11+K11</f>
        <v>39829.399999999994</v>
      </c>
      <c r="I11" s="52">
        <f t="shared" si="17"/>
        <v>99.823057644110264</v>
      </c>
      <c r="J11" s="52">
        <v>0</v>
      </c>
      <c r="K11" s="52">
        <f>16840+8331.85+5532+9125.55</f>
        <v>39829.399999999994</v>
      </c>
      <c r="L11" s="52">
        <f t="shared" si="18"/>
        <v>0</v>
      </c>
      <c r="M11" s="52">
        <f t="shared" si="19"/>
        <v>0</v>
      </c>
      <c r="N11" s="52">
        <v>0</v>
      </c>
      <c r="O11" s="52">
        <v>0</v>
      </c>
      <c r="P11" s="52">
        <f t="shared" si="20"/>
        <v>70.600000000005821</v>
      </c>
      <c r="Q11" s="52">
        <f t="shared" si="21"/>
        <v>0.17694235588973889</v>
      </c>
      <c r="R11" s="52">
        <f t="shared" si="22"/>
        <v>0</v>
      </c>
      <c r="S11" s="52">
        <f t="shared" si="23"/>
        <v>70.600000000005821</v>
      </c>
    </row>
    <row r="12" spans="1:22" ht="30" customHeight="1" x14ac:dyDescent="0.5">
      <c r="A12" s="9">
        <v>6</v>
      </c>
      <c r="B12" s="11" t="str">
        <f>[1]รายการสรุป!$E$10</f>
        <v>ซ่อมแซมอาคารบังคับน้ำอ่างเก็บน้ำแม่ปอน ต.แม่สัน อ.ห้างฉัตร จ.ลำปาง</v>
      </c>
      <c r="C12" s="11" t="str">
        <f>[1]รายการสรุป!$I$10</f>
        <v>0700340084410154</v>
      </c>
      <c r="D12" s="29" t="s">
        <v>23</v>
      </c>
      <c r="E12" s="52">
        <f t="shared" si="15"/>
        <v>4400</v>
      </c>
      <c r="F12" s="52">
        <v>0</v>
      </c>
      <c r="G12" s="53">
        <f>[1]รายการสรุป!$J$10</f>
        <v>4400</v>
      </c>
      <c r="H12" s="52">
        <f t="shared" si="16"/>
        <v>4400</v>
      </c>
      <c r="I12" s="52">
        <f t="shared" si="17"/>
        <v>100</v>
      </c>
      <c r="J12" s="52">
        <v>0</v>
      </c>
      <c r="K12" s="52">
        <f>3120+1280</f>
        <v>4400</v>
      </c>
      <c r="L12" s="52">
        <f t="shared" si="18"/>
        <v>0</v>
      </c>
      <c r="M12" s="52">
        <f t="shared" si="19"/>
        <v>0</v>
      </c>
      <c r="N12" s="52">
        <v>0</v>
      </c>
      <c r="O12" s="52">
        <v>0</v>
      </c>
      <c r="P12" s="52">
        <f t="shared" si="20"/>
        <v>0</v>
      </c>
      <c r="Q12" s="52">
        <f t="shared" si="21"/>
        <v>0</v>
      </c>
      <c r="R12" s="52">
        <f t="shared" si="22"/>
        <v>0</v>
      </c>
      <c r="S12" s="52">
        <f t="shared" si="23"/>
        <v>0</v>
      </c>
    </row>
    <row r="13" spans="1:22" ht="30" customHeight="1" x14ac:dyDescent="0.5">
      <c r="A13" s="9">
        <v>7</v>
      </c>
      <c r="B13" s="11" t="str">
        <f>[1]รายการสรุป!$E$11</f>
        <v>ซ่อมแซมระบบส่งน้ำอ่างเก็บน้ำแม่เกี๋ยง(เหมืองขวาบน) ต.เมืองยาว อ.ห้างฉัตร จ.ลำปาง</v>
      </c>
      <c r="C13" s="11" t="str">
        <f>[1]รายการสรุป!$I$11</f>
        <v>0700340084410155</v>
      </c>
      <c r="D13" s="29" t="s">
        <v>23</v>
      </c>
      <c r="E13" s="52">
        <f t="shared" si="15"/>
        <v>47000</v>
      </c>
      <c r="F13" s="52">
        <v>0</v>
      </c>
      <c r="G13" s="53">
        <f>[1]รายการสรุป!$J$11</f>
        <v>47000</v>
      </c>
      <c r="H13" s="52">
        <f t="shared" si="16"/>
        <v>36676</v>
      </c>
      <c r="I13" s="52">
        <f t="shared" si="17"/>
        <v>78.034042553191483</v>
      </c>
      <c r="J13" s="52">
        <v>0</v>
      </c>
      <c r="K13" s="52">
        <f>14700+8776+13200</f>
        <v>36676</v>
      </c>
      <c r="L13" s="52">
        <f t="shared" si="18"/>
        <v>0</v>
      </c>
      <c r="M13" s="52">
        <f t="shared" si="19"/>
        <v>0</v>
      </c>
      <c r="N13" s="52">
        <v>0</v>
      </c>
      <c r="O13" s="52">
        <v>0</v>
      </c>
      <c r="P13" s="52">
        <f t="shared" si="20"/>
        <v>10324</v>
      </c>
      <c r="Q13" s="52">
        <f t="shared" si="21"/>
        <v>21.96595744680851</v>
      </c>
      <c r="R13" s="52">
        <f t="shared" si="22"/>
        <v>0</v>
      </c>
      <c r="S13" s="52">
        <f t="shared" si="23"/>
        <v>10324</v>
      </c>
    </row>
    <row r="14" spans="1:22" ht="30" customHeight="1" x14ac:dyDescent="0.5">
      <c r="A14" s="9">
        <v>8</v>
      </c>
      <c r="B14" s="11" t="str">
        <f>[1]รายการสรุป!$E$12</f>
        <v>ซ่อมแซมคลองส่งน้ำอ่างเก็บน้ำแม่เกี๋ยง(เหมืองขวาล่าง) ต.เมืองยาว อ.ห้างฉัตร จ.ลำปาง</v>
      </c>
      <c r="C14" s="11" t="str">
        <f>[1]รายการสรุป!$I$12</f>
        <v>0700340084410156</v>
      </c>
      <c r="D14" s="29" t="s">
        <v>23</v>
      </c>
      <c r="E14" s="52">
        <f t="shared" si="15"/>
        <v>38000</v>
      </c>
      <c r="F14" s="52">
        <v>0</v>
      </c>
      <c r="G14" s="53">
        <f>[2]รายการสรุป!$J$12</f>
        <v>38000</v>
      </c>
      <c r="H14" s="52">
        <f t="shared" si="16"/>
        <v>0</v>
      </c>
      <c r="I14" s="52">
        <f t="shared" si="17"/>
        <v>0</v>
      </c>
      <c r="J14" s="52">
        <v>0</v>
      </c>
      <c r="K14" s="52"/>
      <c r="L14" s="52">
        <f t="shared" si="18"/>
        <v>0</v>
      </c>
      <c r="M14" s="52">
        <f t="shared" si="19"/>
        <v>0</v>
      </c>
      <c r="N14" s="52">
        <v>0</v>
      </c>
      <c r="O14" s="52">
        <v>0</v>
      </c>
      <c r="P14" s="52">
        <f t="shared" si="20"/>
        <v>38000</v>
      </c>
      <c r="Q14" s="52">
        <f t="shared" si="21"/>
        <v>100</v>
      </c>
      <c r="R14" s="52">
        <f t="shared" si="22"/>
        <v>0</v>
      </c>
      <c r="S14" s="52">
        <f>G14-K14-O14</f>
        <v>38000</v>
      </c>
    </row>
    <row r="15" spans="1:22" ht="32.25" customHeight="1" x14ac:dyDescent="0.5">
      <c r="A15" s="9">
        <v>9</v>
      </c>
      <c r="B15" s="11" t="str">
        <f>[1]รายการสรุป!$E$13</f>
        <v>ซ่อมแซมอาคารบังคับน้ำอ่างเก็บน้ำห้วยแม่แมะ ต.ปงดอน อ.แจ้ห่ม จ.ลำปาง</v>
      </c>
      <c r="C15" s="11" t="str">
        <f>[1]รายการสรุป!$I$13</f>
        <v>0700340084410157</v>
      </c>
      <c r="D15" s="29" t="s">
        <v>23</v>
      </c>
      <c r="E15" s="52">
        <f t="shared" si="15"/>
        <v>2100</v>
      </c>
      <c r="F15" s="52">
        <v>0</v>
      </c>
      <c r="G15" s="53">
        <f>[1]รายการสรุป!$J$13</f>
        <v>2100</v>
      </c>
      <c r="H15" s="52">
        <f t="shared" si="16"/>
        <v>2030</v>
      </c>
      <c r="I15" s="52">
        <f t="shared" si="17"/>
        <v>96.666666666666671</v>
      </c>
      <c r="J15" s="52">
        <v>0</v>
      </c>
      <c r="K15" s="52">
        <f>1760+270</f>
        <v>2030</v>
      </c>
      <c r="L15" s="52">
        <f t="shared" si="18"/>
        <v>0</v>
      </c>
      <c r="M15" s="52">
        <f t="shared" si="19"/>
        <v>0</v>
      </c>
      <c r="N15" s="52">
        <v>0</v>
      </c>
      <c r="O15" s="52">
        <v>0</v>
      </c>
      <c r="P15" s="52">
        <f t="shared" si="20"/>
        <v>70</v>
      </c>
      <c r="Q15" s="52">
        <f t="shared" si="21"/>
        <v>3.3333333333333335</v>
      </c>
      <c r="R15" s="52">
        <f t="shared" si="22"/>
        <v>0</v>
      </c>
      <c r="S15" s="52">
        <f t="shared" si="23"/>
        <v>70</v>
      </c>
    </row>
    <row r="16" spans="1:22" ht="32.25" customHeight="1" x14ac:dyDescent="0.5">
      <c r="A16" s="9">
        <v>10</v>
      </c>
      <c r="B16" s="11" t="str">
        <f>[2]รายการสรุป!$E$14</f>
        <v>ซ่อมแซมทางระบายน้ำและหินคลุกสันทำนบอ่างเก็บน้ำแม่แมะ ต.ปงดอน อ.แจ้ห่ม จ.ลำปาง</v>
      </c>
      <c r="C16" s="11" t="str">
        <f>[2]รายการสรุป!$I$14</f>
        <v>0700340084410151</v>
      </c>
      <c r="D16" s="29" t="s">
        <v>51</v>
      </c>
      <c r="E16" s="52">
        <f t="shared" ref="E16" si="24">F16+G16</f>
        <v>29000</v>
      </c>
      <c r="F16" s="52">
        <v>0</v>
      </c>
      <c r="G16" s="53">
        <f>[2]รายการสรุป!$J$14</f>
        <v>29000</v>
      </c>
      <c r="H16" s="52">
        <f t="shared" ref="H16" si="25">J16+K16</f>
        <v>8520</v>
      </c>
      <c r="I16" s="52">
        <f t="shared" ref="I16" si="26">H16*100/E16</f>
        <v>29.379310344827587</v>
      </c>
      <c r="J16" s="52">
        <v>0</v>
      </c>
      <c r="K16" s="52">
        <f>8520</f>
        <v>8520</v>
      </c>
      <c r="L16" s="52">
        <f t="shared" ref="L16" si="27">N16+O16</f>
        <v>0</v>
      </c>
      <c r="M16" s="52">
        <f t="shared" ref="M16" si="28">L16*100/E16</f>
        <v>0</v>
      </c>
      <c r="N16" s="52">
        <v>0</v>
      </c>
      <c r="O16" s="52">
        <v>0</v>
      </c>
      <c r="P16" s="52">
        <f t="shared" ref="P16" si="29">R16+S16</f>
        <v>20480</v>
      </c>
      <c r="Q16" s="52">
        <f t="shared" ref="Q16" si="30">P16*100/E16</f>
        <v>70.620689655172413</v>
      </c>
      <c r="R16" s="52">
        <f t="shared" ref="R16" si="31">F16-J16-N16</f>
        <v>0</v>
      </c>
      <c r="S16" s="52">
        <f t="shared" ref="S16" si="32">G16-K16-O16</f>
        <v>20480</v>
      </c>
    </row>
    <row r="17" spans="1:20" ht="30" customHeight="1" x14ac:dyDescent="0.5">
      <c r="A17" s="9"/>
      <c r="B17" s="18" t="s">
        <v>24</v>
      </c>
      <c r="C17" s="18"/>
      <c r="D17" s="24"/>
      <c r="E17" s="19">
        <f>F17+G17</f>
        <v>214200</v>
      </c>
      <c r="F17" s="19">
        <f>SUM(F18:F34)</f>
        <v>0</v>
      </c>
      <c r="G17" s="19">
        <f>SUM(G18:G25)</f>
        <v>214200</v>
      </c>
      <c r="H17" s="19">
        <f>J17+K17</f>
        <v>133016.48000000001</v>
      </c>
      <c r="I17" s="19">
        <f>H17*100/E17</f>
        <v>62.099197012138198</v>
      </c>
      <c r="J17" s="19">
        <f>SUM(J18:J34)</f>
        <v>0</v>
      </c>
      <c r="K17" s="19">
        <f>SUM(K18:K25)</f>
        <v>133016.48000000001</v>
      </c>
      <c r="L17" s="19">
        <f>N17+O17</f>
        <v>0</v>
      </c>
      <c r="M17" s="19">
        <f>L17*100/E17</f>
        <v>0</v>
      </c>
      <c r="N17" s="19">
        <f>SUM(N18:N34)</f>
        <v>0</v>
      </c>
      <c r="O17" s="19">
        <f>SUM(O18:O34)</f>
        <v>0</v>
      </c>
      <c r="P17" s="19">
        <f t="shared" si="20"/>
        <v>81183.51999999999</v>
      </c>
      <c r="Q17" s="19">
        <f>P17*100/E17</f>
        <v>37.900802987861809</v>
      </c>
      <c r="R17" s="19">
        <f t="shared" si="22"/>
        <v>0</v>
      </c>
      <c r="S17" s="19">
        <f t="shared" si="23"/>
        <v>81183.51999999999</v>
      </c>
    </row>
    <row r="18" spans="1:20" ht="29.25" customHeight="1" x14ac:dyDescent="0.5">
      <c r="A18" s="9">
        <v>11</v>
      </c>
      <c r="B18" s="11" t="str">
        <f>[3]รายการสรุป!$E$5</f>
        <v>ซ่อมแซมท่อส่งน้ำบ้านขุนน้ำต้มโครางการหลวงปางค่า ต.ผาช้างน้อย อ.ปง จ.พะเยา</v>
      </c>
      <c r="C18" s="39" t="str">
        <f>[3]รายการสรุป!$I$5</f>
        <v>0700340084410158</v>
      </c>
      <c r="D18" s="29" t="s">
        <v>23</v>
      </c>
      <c r="E18" s="52">
        <f t="shared" ref="E18" si="33">F18+G18</f>
        <v>46000</v>
      </c>
      <c r="F18" s="52">
        <v>0</v>
      </c>
      <c r="G18" s="53">
        <f>[3]รายการสรุป!$J$5</f>
        <v>46000</v>
      </c>
      <c r="H18" s="52">
        <f t="shared" ref="H18" si="34">J18+K18</f>
        <v>7280</v>
      </c>
      <c r="I18" s="52">
        <f t="shared" ref="I18" si="35">H18*100/E18</f>
        <v>15.826086956521738</v>
      </c>
      <c r="J18" s="52">
        <v>0</v>
      </c>
      <c r="K18" s="52">
        <f>7280</f>
        <v>7280</v>
      </c>
      <c r="L18" s="52">
        <f t="shared" ref="L18" si="36">N18+O18</f>
        <v>0</v>
      </c>
      <c r="M18" s="52">
        <f t="shared" ref="M18" si="37">L18*100/E18</f>
        <v>0</v>
      </c>
      <c r="N18" s="52">
        <v>0</v>
      </c>
      <c r="O18" s="52">
        <v>0</v>
      </c>
      <c r="P18" s="52">
        <f t="shared" si="20"/>
        <v>38720</v>
      </c>
      <c r="Q18" s="52">
        <f t="shared" ref="Q18" si="38">P18*100/E18</f>
        <v>84.173913043478265</v>
      </c>
      <c r="R18" s="52">
        <f t="shared" si="22"/>
        <v>0</v>
      </c>
      <c r="S18" s="52">
        <f t="shared" si="23"/>
        <v>38720</v>
      </c>
    </row>
    <row r="19" spans="1:20" ht="29.25" customHeight="1" x14ac:dyDescent="0.5">
      <c r="A19" s="9">
        <v>12</v>
      </c>
      <c r="B19" s="11" t="str">
        <f>[3]รายการสรุป!$E$6</f>
        <v>ซ่อมแซมคลองส่งน้ำสายป้อมตำรวจอ่างเก็บน้ำห้วยม่วง(ห้วยแฮ่)ต.บ้านตุ่น อ.เมือง จ.พะเยา</v>
      </c>
      <c r="C19" s="39" t="str">
        <f>[3]รายการสรุป!$I$6</f>
        <v>0700340084410174</v>
      </c>
      <c r="D19" s="29" t="s">
        <v>23</v>
      </c>
      <c r="E19" s="52">
        <f t="shared" ref="E19:E23" si="39">F19+G19</f>
        <v>14000</v>
      </c>
      <c r="F19" s="52">
        <v>0</v>
      </c>
      <c r="G19" s="53">
        <f>[3]รายการสรุป!$J$6</f>
        <v>14000</v>
      </c>
      <c r="H19" s="52">
        <f t="shared" ref="H19:H23" si="40">J19+K19</f>
        <v>4330</v>
      </c>
      <c r="I19" s="52">
        <f t="shared" ref="I19:I23" si="41">H19*100/E19</f>
        <v>30.928571428571427</v>
      </c>
      <c r="J19" s="52">
        <v>0</v>
      </c>
      <c r="K19" s="52">
        <f>4330</f>
        <v>4330</v>
      </c>
      <c r="L19" s="52">
        <f t="shared" ref="L19:L23" si="42">N19+O19</f>
        <v>0</v>
      </c>
      <c r="M19" s="52">
        <f t="shared" ref="M19:M23" si="43">L19*100/E19</f>
        <v>0</v>
      </c>
      <c r="N19" s="52">
        <v>0</v>
      </c>
      <c r="O19" s="52">
        <v>0</v>
      </c>
      <c r="P19" s="52">
        <f t="shared" ref="P19:P23" si="44">R19+S19</f>
        <v>9670</v>
      </c>
      <c r="Q19" s="52">
        <f t="shared" ref="Q19:Q23" si="45">P19*100/E19</f>
        <v>69.071428571428569</v>
      </c>
      <c r="R19" s="52">
        <f t="shared" ref="R19:R23" si="46">F19-J19-N19</f>
        <v>0</v>
      </c>
      <c r="S19" s="52">
        <f t="shared" ref="S19:S23" si="47">G19-K19-O19</f>
        <v>9670</v>
      </c>
    </row>
    <row r="20" spans="1:20" ht="29.25" customHeight="1" x14ac:dyDescent="0.5">
      <c r="A20" s="9">
        <v>13</v>
      </c>
      <c r="B20" s="11" t="str">
        <f>[3]รายการสรุป!$E$7</f>
        <v>ซ่อมแซมคลองส่งน้ำสายทุ่งขามกม.0+800ถึงกม.1+600อ่างเก็บน้ำห้วยไฟ ต.ป่าสัก อ.ภูซาง จ.พะเยา</v>
      </c>
      <c r="C20" s="39" t="str">
        <f>[3]รายการสรุป!$I$7</f>
        <v>0700340084410175</v>
      </c>
      <c r="D20" s="29" t="s">
        <v>23</v>
      </c>
      <c r="E20" s="52">
        <f t="shared" si="39"/>
        <v>42000</v>
      </c>
      <c r="F20" s="52">
        <v>0</v>
      </c>
      <c r="G20" s="53">
        <f>[3]รายการสรุป!$J$7</f>
        <v>42000</v>
      </c>
      <c r="H20" s="52">
        <f t="shared" si="40"/>
        <v>26186.1</v>
      </c>
      <c r="I20" s="52">
        <f t="shared" si="41"/>
        <v>62.347857142857144</v>
      </c>
      <c r="J20" s="52">
        <v>0</v>
      </c>
      <c r="K20" s="52">
        <f>26186.1</f>
        <v>26186.1</v>
      </c>
      <c r="L20" s="52">
        <f t="shared" si="42"/>
        <v>0</v>
      </c>
      <c r="M20" s="52">
        <f t="shared" si="43"/>
        <v>0</v>
      </c>
      <c r="N20" s="52">
        <v>0</v>
      </c>
      <c r="O20" s="52">
        <v>0</v>
      </c>
      <c r="P20" s="52">
        <f t="shared" si="44"/>
        <v>15813.900000000001</v>
      </c>
      <c r="Q20" s="52">
        <f t="shared" si="45"/>
        <v>37.652142857142863</v>
      </c>
      <c r="R20" s="52">
        <f t="shared" si="46"/>
        <v>0</v>
      </c>
      <c r="S20" s="52">
        <f t="shared" si="47"/>
        <v>15813.900000000001</v>
      </c>
    </row>
    <row r="21" spans="1:20" ht="29.25" customHeight="1" x14ac:dyDescent="0.5">
      <c r="A21" s="9">
        <v>14</v>
      </c>
      <c r="B21" s="11" t="str">
        <f>[3]รายการสรุป!$E$8</f>
        <v>ซ่อมแซมคลองส่งน้ำสายงฝายต้นไฮ อ่างเก็บน้ำห้วยไฟ ต.ภูซาง อ.ภูซาง จ.พะเยา</v>
      </c>
      <c r="C21" s="39" t="str">
        <f>[3]รายการสรุป!$I$8</f>
        <v>0700340084410176</v>
      </c>
      <c r="D21" s="29" t="s">
        <v>23</v>
      </c>
      <c r="E21" s="52">
        <f t="shared" si="39"/>
        <v>32700</v>
      </c>
      <c r="F21" s="52">
        <v>0</v>
      </c>
      <c r="G21" s="53">
        <f>[3]รายการสรุป!$J$8</f>
        <v>32700</v>
      </c>
      <c r="H21" s="52">
        <f t="shared" si="40"/>
        <v>27294.980000000003</v>
      </c>
      <c r="I21" s="52">
        <f t="shared" si="41"/>
        <v>83.470886850152922</v>
      </c>
      <c r="J21" s="52">
        <v>0</v>
      </c>
      <c r="K21" s="52">
        <f>8331.85+9125.55+9837.58</f>
        <v>27294.980000000003</v>
      </c>
      <c r="L21" s="52">
        <f t="shared" si="42"/>
        <v>0</v>
      </c>
      <c r="M21" s="52">
        <f t="shared" si="43"/>
        <v>0</v>
      </c>
      <c r="N21" s="52">
        <v>0</v>
      </c>
      <c r="O21" s="52">
        <v>0</v>
      </c>
      <c r="P21" s="52">
        <f t="shared" si="44"/>
        <v>5405.0199999999968</v>
      </c>
      <c r="Q21" s="52">
        <f t="shared" si="45"/>
        <v>16.529113149847085</v>
      </c>
      <c r="R21" s="52">
        <f t="shared" si="46"/>
        <v>0</v>
      </c>
      <c r="S21" s="52">
        <f t="shared" si="47"/>
        <v>5405.0199999999968</v>
      </c>
    </row>
    <row r="22" spans="1:20" ht="29.25" customHeight="1" x14ac:dyDescent="0.5">
      <c r="A22" s="9">
        <v>15</v>
      </c>
      <c r="B22" s="11" t="str">
        <f>[3]รายการสรุป!$E$9</f>
        <v>ซ่อมแซมคลองส่งน้ำสาย2L-LMC-4L-LMCอ่างเก็บน้ำห้วยสา ต.ร่มเย็น อ.เชียงคำ จ.พะเยา</v>
      </c>
      <c r="C22" s="39" t="str">
        <f>[3]รายการสรุป!$I$9</f>
        <v>0700340084410177</v>
      </c>
      <c r="D22" s="29" t="s">
        <v>23</v>
      </c>
      <c r="E22" s="52">
        <f t="shared" si="39"/>
        <v>23400</v>
      </c>
      <c r="F22" s="52">
        <v>0</v>
      </c>
      <c r="G22" s="53">
        <f>[3]รายการสรุป!$J$9</f>
        <v>23400</v>
      </c>
      <c r="H22" s="52">
        <f t="shared" si="40"/>
        <v>22501.4</v>
      </c>
      <c r="I22" s="52">
        <f t="shared" si="41"/>
        <v>96.159829059829065</v>
      </c>
      <c r="J22" s="52">
        <v>0</v>
      </c>
      <c r="K22" s="52">
        <f>9441.4+3600+9460</f>
        <v>22501.4</v>
      </c>
      <c r="L22" s="52">
        <f t="shared" si="42"/>
        <v>0</v>
      </c>
      <c r="M22" s="52">
        <f t="shared" si="43"/>
        <v>0</v>
      </c>
      <c r="N22" s="52">
        <v>0</v>
      </c>
      <c r="O22" s="52">
        <v>0</v>
      </c>
      <c r="P22" s="52">
        <f t="shared" si="44"/>
        <v>898.59999999999854</v>
      </c>
      <c r="Q22" s="52">
        <f t="shared" si="45"/>
        <v>3.8401709401709341</v>
      </c>
      <c r="R22" s="52">
        <f t="shared" si="46"/>
        <v>0</v>
      </c>
      <c r="S22" s="52">
        <f t="shared" si="47"/>
        <v>898.59999999999854</v>
      </c>
    </row>
    <row r="23" spans="1:20" ht="29.25" customHeight="1" x14ac:dyDescent="0.5">
      <c r="A23" s="9">
        <v>16</v>
      </c>
      <c r="B23" s="11" t="str">
        <f>[3]รายการสรุป!$E$10</f>
        <v>ซ่อมแซมคลองส่งน้ำสายวังเตากลางอ่างเก็บน้ำร่องส้าน ต.ใหม่ร่มเย็น อ.เชียงคำ จ.พะเยา</v>
      </c>
      <c r="C23" s="39" t="str">
        <f>[3]รายการสรุป!$I$10</f>
        <v>0700340084410178</v>
      </c>
      <c r="D23" s="29" t="s">
        <v>23</v>
      </c>
      <c r="E23" s="52">
        <f t="shared" si="39"/>
        <v>23400</v>
      </c>
      <c r="F23" s="52">
        <v>0</v>
      </c>
      <c r="G23" s="53">
        <f>[3]รายการสรุป!$J$10</f>
        <v>23400</v>
      </c>
      <c r="H23" s="52">
        <f t="shared" si="40"/>
        <v>13440</v>
      </c>
      <c r="I23" s="52">
        <f t="shared" si="41"/>
        <v>57.435897435897438</v>
      </c>
      <c r="J23" s="52">
        <v>0</v>
      </c>
      <c r="K23" s="52">
        <f>4640+8800</f>
        <v>13440</v>
      </c>
      <c r="L23" s="52">
        <f t="shared" si="42"/>
        <v>0</v>
      </c>
      <c r="M23" s="52">
        <f t="shared" si="43"/>
        <v>0</v>
      </c>
      <c r="N23" s="52">
        <v>0</v>
      </c>
      <c r="O23" s="52">
        <v>0</v>
      </c>
      <c r="P23" s="52">
        <f t="shared" si="44"/>
        <v>9960</v>
      </c>
      <c r="Q23" s="52">
        <f t="shared" si="45"/>
        <v>42.564102564102562</v>
      </c>
      <c r="R23" s="52">
        <f t="shared" si="46"/>
        <v>0</v>
      </c>
      <c r="S23" s="52">
        <f t="shared" si="47"/>
        <v>9960</v>
      </c>
    </row>
    <row r="24" spans="1:20" ht="29.25" customHeight="1" x14ac:dyDescent="0.5">
      <c r="A24" s="9">
        <v>17</v>
      </c>
      <c r="B24" s="11" t="str">
        <f>[3]รายการสรุป!$E$11</f>
        <v>ซ่อมแซมคลองส่งน้ำสายทุ่งกลางอ่างเก็บน้ำห้วยไฟ ต.ภูซาง อ.ภูซาง จ.พะเยา</v>
      </c>
      <c r="C24" s="39" t="str">
        <f>[3]รายการสรุป!$I$11</f>
        <v>0700340084410179</v>
      </c>
      <c r="D24" s="29" t="s">
        <v>23</v>
      </c>
      <c r="E24" s="52">
        <f t="shared" ref="E24:E25" si="48">F24+G24</f>
        <v>18600</v>
      </c>
      <c r="F24" s="52">
        <v>0</v>
      </c>
      <c r="G24" s="53">
        <f>[3]รายการสรุป!$J$11</f>
        <v>18600</v>
      </c>
      <c r="H24" s="52">
        <f t="shared" ref="H24:H25" si="49">J24+K24</f>
        <v>18600</v>
      </c>
      <c r="I24" s="52">
        <f t="shared" ref="I24:I25" si="50">H24*100/E24</f>
        <v>100</v>
      </c>
      <c r="J24" s="52">
        <v>0</v>
      </c>
      <c r="K24" s="52">
        <f>18600</f>
        <v>18600</v>
      </c>
      <c r="L24" s="52">
        <f t="shared" ref="L24:L25" si="51">N24+O24</f>
        <v>0</v>
      </c>
      <c r="M24" s="52">
        <f t="shared" ref="M24:M25" si="52">L24*100/E24</f>
        <v>0</v>
      </c>
      <c r="N24" s="52">
        <v>0</v>
      </c>
      <c r="O24" s="52">
        <v>0</v>
      </c>
      <c r="P24" s="52">
        <f t="shared" ref="P24:P27" si="53">R24+S24</f>
        <v>0</v>
      </c>
      <c r="Q24" s="52">
        <f t="shared" ref="Q24:Q25" si="54">P24*100/E24</f>
        <v>0</v>
      </c>
      <c r="R24" s="52">
        <f t="shared" ref="R24:R27" si="55">F24-J24-N24</f>
        <v>0</v>
      </c>
      <c r="S24" s="52">
        <f t="shared" ref="S24:S27" si="56">G24-K24-O24</f>
        <v>0</v>
      </c>
    </row>
    <row r="25" spans="1:20" ht="29.25" customHeight="1" x14ac:dyDescent="0.5">
      <c r="A25" s="9">
        <v>18</v>
      </c>
      <c r="B25" s="11" t="str">
        <f>[3]รายการสรุป!$E$12</f>
        <v>ซ่อมแซมคลองส่งน้ำสายทุ่งเหลายาวอ่างเก็บน้ำห้วยยัด ต.แม่ลาว อ.เชียงคำ จ.พะเยา</v>
      </c>
      <c r="C25" s="39" t="str">
        <f>[3]รายการสรุป!$I$12</f>
        <v>0700340084410180</v>
      </c>
      <c r="D25" s="29" t="s">
        <v>23</v>
      </c>
      <c r="E25" s="52">
        <f t="shared" si="48"/>
        <v>14100</v>
      </c>
      <c r="F25" s="52">
        <v>0</v>
      </c>
      <c r="G25" s="53">
        <f>[3]รายการสรุป!$J$12</f>
        <v>14100</v>
      </c>
      <c r="H25" s="52">
        <f t="shared" si="49"/>
        <v>13384</v>
      </c>
      <c r="I25" s="52">
        <f t="shared" si="50"/>
        <v>94.921985815602838</v>
      </c>
      <c r="J25" s="52">
        <v>0</v>
      </c>
      <c r="K25" s="52">
        <f>8744+4640</f>
        <v>13384</v>
      </c>
      <c r="L25" s="52">
        <f t="shared" si="51"/>
        <v>0</v>
      </c>
      <c r="M25" s="52">
        <f t="shared" si="52"/>
        <v>0</v>
      </c>
      <c r="N25" s="52">
        <v>0</v>
      </c>
      <c r="O25" s="52">
        <v>0</v>
      </c>
      <c r="P25" s="52">
        <f t="shared" si="53"/>
        <v>716</v>
      </c>
      <c r="Q25" s="52">
        <f t="shared" si="54"/>
        <v>5.0780141843971629</v>
      </c>
      <c r="R25" s="52">
        <f t="shared" si="55"/>
        <v>0</v>
      </c>
      <c r="S25" s="52">
        <f t="shared" si="56"/>
        <v>716</v>
      </c>
    </row>
    <row r="26" spans="1:20" ht="30" customHeight="1" x14ac:dyDescent="0.5">
      <c r="A26" s="9"/>
      <c r="B26" s="18" t="s">
        <v>25</v>
      </c>
      <c r="C26" s="18"/>
      <c r="D26" s="24"/>
      <c r="E26" s="19">
        <f>F26+G26</f>
        <v>256800</v>
      </c>
      <c r="F26" s="19">
        <f>SUM(F27:F54)</f>
        <v>0</v>
      </c>
      <c r="G26" s="19">
        <f>SUM(G27:G32)</f>
        <v>256800</v>
      </c>
      <c r="H26" s="19">
        <f>J26+K26</f>
        <v>127508.83</v>
      </c>
      <c r="I26" s="19">
        <f>H26*100/E26</f>
        <v>49.652971183800624</v>
      </c>
      <c r="J26" s="19">
        <f>SUM(J27:J54)</f>
        <v>0</v>
      </c>
      <c r="K26" s="19">
        <f>SUM(K27:K32)</f>
        <v>127508.83</v>
      </c>
      <c r="L26" s="19">
        <f>N26+O26</f>
        <v>0</v>
      </c>
      <c r="M26" s="19">
        <f>L26*100/E26</f>
        <v>0</v>
      </c>
      <c r="N26" s="19">
        <f>SUM(N27:N54)</f>
        <v>0</v>
      </c>
      <c r="O26" s="19">
        <f>SUM(O27:O54)</f>
        <v>0</v>
      </c>
      <c r="P26" s="19">
        <f t="shared" si="53"/>
        <v>129291.17</v>
      </c>
      <c r="Q26" s="19">
        <f>P26*100/E26</f>
        <v>50.347028816199376</v>
      </c>
      <c r="R26" s="19">
        <f t="shared" si="55"/>
        <v>0</v>
      </c>
      <c r="S26" s="19">
        <f t="shared" si="56"/>
        <v>129291.17</v>
      </c>
      <c r="T26" s="16">
        <f>I26+M26+Q26</f>
        <v>100</v>
      </c>
    </row>
    <row r="27" spans="1:20" ht="30" customHeight="1" x14ac:dyDescent="0.5">
      <c r="A27" s="9">
        <v>19</v>
      </c>
      <c r="B27" s="11" t="str">
        <f>[4]รายการสรุป!$E$5</f>
        <v>ซ่อมแซมคลองส่งน้ำเหมืองนาโฮ่งงฝายลูกที่1 อ่างเก็บน้ำน้ำแก่น(พรด.)ต.น้ำแก่น อ.ภูเพียง จ.น่าน</v>
      </c>
      <c r="C27" s="11" t="str">
        <f>[4]รายการสรุป!$I$5</f>
        <v>0700340084410181</v>
      </c>
      <c r="D27" s="29" t="s">
        <v>23</v>
      </c>
      <c r="E27" s="52">
        <f t="shared" ref="E27" si="57">F27+G27</f>
        <v>59400</v>
      </c>
      <c r="F27" s="52">
        <v>0</v>
      </c>
      <c r="G27" s="53">
        <f>[4]รายการสรุป!$J$5</f>
        <v>59400</v>
      </c>
      <c r="H27" s="52">
        <f t="shared" ref="H27" si="58">J27+K27</f>
        <v>34914.800000000003</v>
      </c>
      <c r="I27" s="52">
        <f t="shared" ref="I27" si="59">H27*100/E27</f>
        <v>58.779124579124584</v>
      </c>
      <c r="J27" s="52">
        <v>0</v>
      </c>
      <c r="K27" s="52">
        <f>16663.7+18251.1</f>
        <v>34914.800000000003</v>
      </c>
      <c r="L27" s="52">
        <f t="shared" ref="L27" si="60">N27+O27</f>
        <v>0</v>
      </c>
      <c r="M27" s="52">
        <f t="shared" ref="M27" si="61">L27*100/E27</f>
        <v>0</v>
      </c>
      <c r="N27" s="52">
        <v>0</v>
      </c>
      <c r="O27" s="52">
        <v>0</v>
      </c>
      <c r="P27" s="52">
        <f t="shared" si="53"/>
        <v>24485.199999999997</v>
      </c>
      <c r="Q27" s="52">
        <f t="shared" ref="Q27" si="62">P27*100/E27</f>
        <v>41.220875420875416</v>
      </c>
      <c r="R27" s="52">
        <f t="shared" si="55"/>
        <v>0</v>
      </c>
      <c r="S27" s="52">
        <f t="shared" si="56"/>
        <v>24485.199999999997</v>
      </c>
    </row>
    <row r="28" spans="1:20" ht="30" customHeight="1" x14ac:dyDescent="0.5">
      <c r="A28" s="9">
        <v>20</v>
      </c>
      <c r="B28" s="11" t="str">
        <f>[4]รายการสรุป!$E$6</f>
        <v>ซ่อมแซมคลองส่งน้ำ 1L-LMCฝายน้ำสอด(พรด.)ต.และอ.ทุ่งช้าง จ.น่าน</v>
      </c>
      <c r="C28" s="11" t="str">
        <f>[4]รายการสรุป!$I$6</f>
        <v>0700340084410182</v>
      </c>
      <c r="D28" s="29" t="s">
        <v>23</v>
      </c>
      <c r="E28" s="52">
        <f t="shared" ref="E28:E31" si="63">F28+G28</f>
        <v>38000</v>
      </c>
      <c r="F28" s="52">
        <v>0</v>
      </c>
      <c r="G28" s="53">
        <f>[5]รายการสรุป!$J$6</f>
        <v>38000</v>
      </c>
      <c r="H28" s="52">
        <f t="shared" ref="H28:H31" si="64">J28+K28</f>
        <v>10080</v>
      </c>
      <c r="I28" s="52">
        <f t="shared" ref="I28:I31" si="65">H28*100/E28</f>
        <v>26.526315789473685</v>
      </c>
      <c r="J28" s="52">
        <v>0</v>
      </c>
      <c r="K28" s="52">
        <f>3840+6240</f>
        <v>10080</v>
      </c>
      <c r="L28" s="52">
        <f t="shared" ref="L28:L31" si="66">N28+O28</f>
        <v>0</v>
      </c>
      <c r="M28" s="52">
        <f t="shared" ref="M28:M31" si="67">L28*100/E28</f>
        <v>0</v>
      </c>
      <c r="N28" s="52">
        <v>0</v>
      </c>
      <c r="O28" s="52">
        <v>0</v>
      </c>
      <c r="P28" s="52">
        <f t="shared" ref="P28:P33" si="68">R28+S28</f>
        <v>27920</v>
      </c>
      <c r="Q28" s="52">
        <f t="shared" ref="Q28:Q32" si="69">P28*100/E28</f>
        <v>73.473684210526315</v>
      </c>
      <c r="R28" s="52">
        <f t="shared" ref="R28:R33" si="70">F28-J28-N28</f>
        <v>0</v>
      </c>
      <c r="S28" s="52">
        <f t="shared" ref="S28:S33" si="71">G28-K28-O28</f>
        <v>27920</v>
      </c>
    </row>
    <row r="29" spans="1:20" ht="30" customHeight="1" x14ac:dyDescent="0.5">
      <c r="A29" s="9">
        <v>21</v>
      </c>
      <c r="B29" s="11" t="str">
        <f>[4]รายการสรุป!$E$7</f>
        <v>ซ่อมแซมอ่างเก็บน้ำบ้านน้ำว้า(พรด.)ต.น้ำพาง อ.แม่จริม จ.น่าน</v>
      </c>
      <c r="C29" s="11" t="str">
        <f>[4]รายการสรุป!$I$7</f>
        <v>0700340084410184</v>
      </c>
      <c r="D29" s="29" t="s">
        <v>23</v>
      </c>
      <c r="E29" s="52">
        <f t="shared" si="63"/>
        <v>42100</v>
      </c>
      <c r="F29" s="52">
        <v>0</v>
      </c>
      <c r="G29" s="53">
        <f>[5]รายการสรุป!$J$7</f>
        <v>42100</v>
      </c>
      <c r="H29" s="52">
        <f t="shared" si="64"/>
        <v>37317.72</v>
      </c>
      <c r="I29" s="52">
        <f t="shared" si="65"/>
        <v>88.640665083135389</v>
      </c>
      <c r="J29" s="52">
        <v>0</v>
      </c>
      <c r="K29" s="52">
        <f>5783+5680+10310.52+15544.2</f>
        <v>37317.72</v>
      </c>
      <c r="L29" s="52">
        <f t="shared" si="66"/>
        <v>0</v>
      </c>
      <c r="M29" s="52">
        <f t="shared" si="67"/>
        <v>0</v>
      </c>
      <c r="N29" s="52">
        <v>0</v>
      </c>
      <c r="O29" s="52">
        <v>0</v>
      </c>
      <c r="P29" s="52">
        <f t="shared" si="68"/>
        <v>4782.2799999999988</v>
      </c>
      <c r="Q29" s="52">
        <f t="shared" si="69"/>
        <v>11.359334916864606</v>
      </c>
      <c r="R29" s="52">
        <f t="shared" si="70"/>
        <v>0</v>
      </c>
      <c r="S29" s="52">
        <f t="shared" si="71"/>
        <v>4782.2799999999988</v>
      </c>
    </row>
    <row r="30" spans="1:20" ht="30" customHeight="1" x14ac:dyDescent="0.5">
      <c r="A30" s="9">
        <v>22</v>
      </c>
      <c r="B30" s="11" t="str">
        <f>[4]รายการสรุป!$E$8</f>
        <v>ซ่อมแซมคลองส่งน้ำ LMCอ่างเก็บน้ำน้ำและ กม.0+500ถึง กม.0+603(พรด.)ต.และ อ.ทุ่งช้าง จ.น่าน</v>
      </c>
      <c r="C30" s="11" t="str">
        <f>[4]รายการสรุป!$I$8</f>
        <v>0700340084410187</v>
      </c>
      <c r="D30" s="29" t="s">
        <v>23</v>
      </c>
      <c r="E30" s="52">
        <f t="shared" si="63"/>
        <v>38000</v>
      </c>
      <c r="F30" s="52">
        <v>0</v>
      </c>
      <c r="G30" s="53">
        <f>[5]รายการสรุป!$J$8</f>
        <v>38000</v>
      </c>
      <c r="H30" s="52">
        <f t="shared" si="64"/>
        <v>0</v>
      </c>
      <c r="I30" s="52">
        <f t="shared" si="65"/>
        <v>0</v>
      </c>
      <c r="J30" s="52">
        <v>0</v>
      </c>
      <c r="K30" s="52"/>
      <c r="L30" s="52">
        <f t="shared" si="66"/>
        <v>0</v>
      </c>
      <c r="M30" s="52">
        <f t="shared" si="67"/>
        <v>0</v>
      </c>
      <c r="N30" s="52">
        <v>0</v>
      </c>
      <c r="O30" s="52">
        <v>0</v>
      </c>
      <c r="P30" s="52">
        <f t="shared" si="68"/>
        <v>38000</v>
      </c>
      <c r="Q30" s="52">
        <f t="shared" si="69"/>
        <v>100</v>
      </c>
      <c r="R30" s="52">
        <f t="shared" si="70"/>
        <v>0</v>
      </c>
      <c r="S30" s="52">
        <f t="shared" si="71"/>
        <v>38000</v>
      </c>
    </row>
    <row r="31" spans="1:20" ht="31.5" customHeight="1" x14ac:dyDescent="0.5">
      <c r="A31" s="9">
        <v>23</v>
      </c>
      <c r="B31" s="11" t="str">
        <f>[4]รายการสรุป!$E$9</f>
        <v>ซ่อมแซมคลองส่งน้ำ2R-RMCอ่างเก็บน้ำน้ำปอน กม.1+000ถึงกม.1+125(พรด.)ต.ปอน อ.ทุ่งช้าง จ.น่าน</v>
      </c>
      <c r="C31" s="11" t="str">
        <f>[4]รายการสรุป!$I$9</f>
        <v>0700340084410188</v>
      </c>
      <c r="D31" s="29" t="s">
        <v>23</v>
      </c>
      <c r="E31" s="52">
        <f t="shared" si="63"/>
        <v>38000</v>
      </c>
      <c r="F31" s="52">
        <v>0</v>
      </c>
      <c r="G31" s="53">
        <f>[5]รายการสรุป!$J$9</f>
        <v>38000</v>
      </c>
      <c r="H31" s="52">
        <f t="shared" si="64"/>
        <v>36396.31</v>
      </c>
      <c r="I31" s="52">
        <f t="shared" si="65"/>
        <v>95.779763157894735</v>
      </c>
      <c r="J31" s="52">
        <v>0</v>
      </c>
      <c r="K31" s="52">
        <f>26186.1+4640+5570.21</f>
        <v>36396.31</v>
      </c>
      <c r="L31" s="52">
        <f t="shared" si="66"/>
        <v>0</v>
      </c>
      <c r="M31" s="52">
        <f t="shared" si="67"/>
        <v>0</v>
      </c>
      <c r="N31" s="52">
        <v>0</v>
      </c>
      <c r="O31" s="52">
        <v>0</v>
      </c>
      <c r="P31" s="52">
        <f t="shared" si="68"/>
        <v>1603.6900000000023</v>
      </c>
      <c r="Q31" s="52">
        <f t="shared" si="69"/>
        <v>4.2202368421052689</v>
      </c>
      <c r="R31" s="52">
        <f t="shared" si="70"/>
        <v>0</v>
      </c>
      <c r="S31" s="52">
        <f t="shared" si="71"/>
        <v>1603.6900000000023</v>
      </c>
    </row>
    <row r="32" spans="1:20" ht="30.75" customHeight="1" x14ac:dyDescent="0.5">
      <c r="A32" s="9">
        <v>24</v>
      </c>
      <c r="B32" s="11" t="str">
        <f>[4]รายการสรุป!$E$10</f>
        <v>ซ่อมแซมระบบส่งน้ำฝั่งขวาฝายน้ำอวน(พรด.) ต.อวน อ.ปัว จ.น่าน</v>
      </c>
      <c r="C32" s="11" t="str">
        <f>[4]รายการสรุป!$I$10</f>
        <v>0700340084410189</v>
      </c>
      <c r="D32" s="29" t="s">
        <v>23</v>
      </c>
      <c r="E32" s="52">
        <f t="shared" ref="E32" si="72">F32+G32</f>
        <v>41300</v>
      </c>
      <c r="F32" s="52">
        <v>0</v>
      </c>
      <c r="G32" s="53">
        <f>[4]รายการสรุป!$J$10</f>
        <v>41300</v>
      </c>
      <c r="H32" s="52">
        <f t="shared" ref="H32" si="73">J32+K32</f>
        <v>8800</v>
      </c>
      <c r="I32" s="52">
        <f t="shared" ref="I32" si="74">H32*100/E32</f>
        <v>21.307506053268764</v>
      </c>
      <c r="J32" s="52">
        <v>0</v>
      </c>
      <c r="K32" s="52">
        <f>1040+3360+4400</f>
        <v>8800</v>
      </c>
      <c r="L32" s="52">
        <f t="shared" ref="L32" si="75">N32+O32</f>
        <v>0</v>
      </c>
      <c r="M32" s="52">
        <f t="shared" ref="M32" si="76">L32*100/E32</f>
        <v>0</v>
      </c>
      <c r="N32" s="52">
        <v>0</v>
      </c>
      <c r="O32" s="52">
        <v>0</v>
      </c>
      <c r="P32" s="52">
        <f t="shared" si="68"/>
        <v>32500</v>
      </c>
      <c r="Q32" s="52">
        <f t="shared" si="69"/>
        <v>78.692493946731233</v>
      </c>
      <c r="R32" s="52">
        <f t="shared" si="70"/>
        <v>0</v>
      </c>
      <c r="S32" s="52">
        <f t="shared" si="71"/>
        <v>32500</v>
      </c>
    </row>
    <row r="33" spans="1:19" ht="30" customHeight="1" x14ac:dyDescent="0.5">
      <c r="A33" s="9"/>
      <c r="B33" s="18" t="s">
        <v>26</v>
      </c>
      <c r="C33" s="18"/>
      <c r="D33" s="24"/>
      <c r="E33" s="19">
        <f>F33+G33</f>
        <v>855000</v>
      </c>
      <c r="F33" s="19">
        <f>SUM(F34:F36)</f>
        <v>0</v>
      </c>
      <c r="G33" s="19">
        <f>SUM(G34:G36)</f>
        <v>855000</v>
      </c>
      <c r="H33" s="19">
        <f>J33+K33</f>
        <v>562536</v>
      </c>
      <c r="I33" s="19">
        <f>H33*100/E33</f>
        <v>65.793684210526322</v>
      </c>
      <c r="J33" s="19">
        <f>SUM(J34:J36)</f>
        <v>0</v>
      </c>
      <c r="K33" s="19">
        <f>SUM(K34:K36)</f>
        <v>562536</v>
      </c>
      <c r="L33" s="19">
        <f>N33+O33</f>
        <v>0</v>
      </c>
      <c r="M33" s="19">
        <f>L33*100/E33</f>
        <v>0</v>
      </c>
      <c r="N33" s="19">
        <f>SUM(N34:N36)</f>
        <v>0</v>
      </c>
      <c r="O33" s="19">
        <f>SUM(O34:O36)</f>
        <v>0</v>
      </c>
      <c r="P33" s="19">
        <f t="shared" si="68"/>
        <v>292464</v>
      </c>
      <c r="Q33" s="19">
        <f>P33*100/E33</f>
        <v>34.206315789473685</v>
      </c>
      <c r="R33" s="19">
        <f t="shared" si="70"/>
        <v>0</v>
      </c>
      <c r="S33" s="19">
        <f t="shared" si="71"/>
        <v>292464</v>
      </c>
    </row>
    <row r="34" spans="1:19" ht="30" customHeight="1" x14ac:dyDescent="0.5">
      <c r="A34" s="9">
        <v>25</v>
      </c>
      <c r="B34" s="11" t="str">
        <f>[6]รายการสรุป!$E$5</f>
        <v>ปรับปรุงระบบส่งน้ำงายสวยโฮ่ง ระยะ2 ต.นาโป่ง อ.เถิน จ.ลำปาง</v>
      </c>
      <c r="C34" s="11" t="str">
        <f>[6]รายการสรุป!$I$5</f>
        <v>0700340084410436</v>
      </c>
      <c r="D34" s="29" t="s">
        <v>23</v>
      </c>
      <c r="E34" s="52">
        <f t="shared" ref="E34" si="77">F34+G34</f>
        <v>179000</v>
      </c>
      <c r="F34" s="52">
        <v>0</v>
      </c>
      <c r="G34" s="53">
        <f>[6]รายการสรุป!$J$5</f>
        <v>179000</v>
      </c>
      <c r="H34" s="52">
        <f t="shared" ref="H34" si="78">J34+K34</f>
        <v>123626.20000000001</v>
      </c>
      <c r="I34" s="52">
        <f t="shared" ref="I34" si="79">H34*100/E34</f>
        <v>69.064916201117327</v>
      </c>
      <c r="J34" s="52">
        <v>0</v>
      </c>
      <c r="K34" s="52">
        <f>59002.8+64623.4</f>
        <v>123626.20000000001</v>
      </c>
      <c r="L34" s="52">
        <f t="shared" ref="L34" si="80">N34+O34</f>
        <v>0</v>
      </c>
      <c r="M34" s="52">
        <f t="shared" ref="M34" si="81">L34*100/E34</f>
        <v>0</v>
      </c>
      <c r="N34" s="52">
        <v>0</v>
      </c>
      <c r="O34" s="52">
        <v>0</v>
      </c>
      <c r="P34" s="52">
        <f t="shared" ref="P34" si="82">R34+S34</f>
        <v>55373.799999999988</v>
      </c>
      <c r="Q34" s="52">
        <f t="shared" ref="Q34" si="83">P34*100/E34</f>
        <v>30.935083798882676</v>
      </c>
      <c r="R34" s="52">
        <f t="shared" ref="R34" si="84">F34-J34-N34</f>
        <v>0</v>
      </c>
      <c r="S34" s="52">
        <f t="shared" ref="S34" si="85">G34-K34-O34</f>
        <v>55373.799999999988</v>
      </c>
    </row>
    <row r="35" spans="1:19" ht="30" customHeight="1" x14ac:dyDescent="0.5">
      <c r="A35" s="9">
        <v>26</v>
      </c>
      <c r="B35" s="11" t="str">
        <f>[6]รายการสรุป!$E$6</f>
        <v>ระบบส่งน้ำอ่างเก็บน้ำแม่ไพร(ฝายทุ่งเก้ามุ่น) ต.วอแก้ว อ.ห้างฉัตร จ.ลำปาง</v>
      </c>
      <c r="C35" s="11" t="str">
        <f>[6]รายการสรุป!$I$6</f>
        <v>0700340084410437</v>
      </c>
      <c r="D35" s="29" t="s">
        <v>23</v>
      </c>
      <c r="E35" s="52">
        <f t="shared" ref="E35" si="86">F35+G35</f>
        <v>211000</v>
      </c>
      <c r="F35" s="52">
        <v>0</v>
      </c>
      <c r="G35" s="53">
        <f>[6]รายการสรุป!$J$6</f>
        <v>211000</v>
      </c>
      <c r="H35" s="52">
        <f t="shared" ref="H35" si="87">J35+K35</f>
        <v>190625.5</v>
      </c>
      <c r="I35" s="52">
        <f t="shared" ref="I35" si="88">H35*100/E35</f>
        <v>90.343838862559238</v>
      </c>
      <c r="J35" s="52">
        <v>0</v>
      </c>
      <c r="K35" s="52">
        <f>66257.95+72607.55+51760</f>
        <v>190625.5</v>
      </c>
      <c r="L35" s="52">
        <f t="shared" ref="L35:L36" si="89">N35+O35</f>
        <v>0</v>
      </c>
      <c r="M35" s="52">
        <f t="shared" ref="M35" si="90">L35*100/E35</f>
        <v>0</v>
      </c>
      <c r="N35" s="52">
        <v>0</v>
      </c>
      <c r="O35" s="52">
        <v>0</v>
      </c>
      <c r="P35" s="52">
        <f t="shared" ref="P35" si="91">R35+S35</f>
        <v>20374.5</v>
      </c>
      <c r="Q35" s="52">
        <f t="shared" ref="Q35" si="92">P35*100/E35</f>
        <v>9.6561611374407583</v>
      </c>
      <c r="R35" s="52">
        <f t="shared" ref="R35" si="93">F35-J35-N35</f>
        <v>0</v>
      </c>
      <c r="S35" s="52">
        <f t="shared" ref="S35" si="94">G35-K35-O35</f>
        <v>20374.5</v>
      </c>
    </row>
    <row r="36" spans="1:19" ht="30" customHeight="1" x14ac:dyDescent="0.5">
      <c r="A36" s="9">
        <v>27</v>
      </c>
      <c r="B36" s="11" t="str">
        <f>[6]รายการสรุป!$E$7</f>
        <v>ระบบส่งน้ำอ่างเก็บน้ำแม่แมะ ต.เมืองปาน อ.เมืองปาน จ.ลำปาง</v>
      </c>
      <c r="C36" s="11" t="str">
        <f>[6]รายการสรุป!$I$7</f>
        <v>0700340084420017</v>
      </c>
      <c r="D36" s="29" t="s">
        <v>23</v>
      </c>
      <c r="E36" s="52">
        <f t="shared" ref="E36" si="95">F36+G36</f>
        <v>465000</v>
      </c>
      <c r="F36" s="52">
        <v>0</v>
      </c>
      <c r="G36" s="53">
        <f>[6]รายการสรุป!$J$7</f>
        <v>465000</v>
      </c>
      <c r="H36" s="52">
        <f t="shared" ref="H36" si="96">J36+K36</f>
        <v>248284.30000000002</v>
      </c>
      <c r="I36" s="52">
        <f t="shared" ref="I36" si="97">H36*100/E36</f>
        <v>53.394473118279571</v>
      </c>
      <c r="J36" s="52">
        <v>0</v>
      </c>
      <c r="K36" s="52">
        <f>20377.45+33076+8198+6838+15251+7935+10080+12369+6480+10652+18043+8331.85+4878+37900+47875</f>
        <v>248284.30000000002</v>
      </c>
      <c r="L36" s="52">
        <f t="shared" si="89"/>
        <v>0</v>
      </c>
      <c r="M36" s="52">
        <f t="shared" ref="M36" si="98">L36*100/E36</f>
        <v>0</v>
      </c>
      <c r="N36" s="52">
        <v>0</v>
      </c>
      <c r="O36" s="52">
        <v>0</v>
      </c>
      <c r="P36" s="52">
        <f t="shared" ref="P36:P38" si="99">R36+S36</f>
        <v>216715.69999999998</v>
      </c>
      <c r="Q36" s="52">
        <f t="shared" ref="Q36" si="100">P36*100/E36</f>
        <v>46.605526881720429</v>
      </c>
      <c r="R36" s="52">
        <f t="shared" ref="R36:R38" si="101">F36-J36-N36</f>
        <v>0</v>
      </c>
      <c r="S36" s="52">
        <f t="shared" ref="S36:S38" si="102">G36-K36-O36</f>
        <v>216715.69999999998</v>
      </c>
    </row>
    <row r="37" spans="1:19" ht="30" customHeight="1" x14ac:dyDescent="0.5">
      <c r="A37" s="9"/>
      <c r="B37" s="18" t="s">
        <v>27</v>
      </c>
      <c r="C37" s="18"/>
      <c r="D37" s="24"/>
      <c r="E37" s="19">
        <f>F37+G37</f>
        <v>37000</v>
      </c>
      <c r="F37" s="19">
        <f>SUM(F38)</f>
        <v>0</v>
      </c>
      <c r="G37" s="19">
        <f>SUM(G38)</f>
        <v>37000</v>
      </c>
      <c r="H37" s="19">
        <f>J37+K37</f>
        <v>0</v>
      </c>
      <c r="I37" s="19">
        <f>H37*100/E37</f>
        <v>0</v>
      </c>
      <c r="J37" s="19">
        <f>SUM(J38)</f>
        <v>0</v>
      </c>
      <c r="K37" s="19">
        <f>SUM(K38)</f>
        <v>0</v>
      </c>
      <c r="L37" s="19">
        <f>N37+O37</f>
        <v>0</v>
      </c>
      <c r="M37" s="19">
        <f>L37*100/E37</f>
        <v>0</v>
      </c>
      <c r="N37" s="19">
        <f>SUM(N38)</f>
        <v>0</v>
      </c>
      <c r="O37" s="19">
        <f>SUM(O38)</f>
        <v>0</v>
      </c>
      <c r="P37" s="19">
        <f t="shared" si="99"/>
        <v>37000</v>
      </c>
      <c r="Q37" s="19">
        <f>P37*100/E37</f>
        <v>100</v>
      </c>
      <c r="R37" s="19">
        <f t="shared" si="101"/>
        <v>0</v>
      </c>
      <c r="S37" s="19">
        <f t="shared" si="102"/>
        <v>37000</v>
      </c>
    </row>
    <row r="38" spans="1:19" ht="36" customHeight="1" x14ac:dyDescent="0.5">
      <c r="A38" s="9">
        <v>28</v>
      </c>
      <c r="B38" s="11" t="str">
        <f>[7]รายการสรุป!$E$5</f>
        <v>งานถังพักน้ำอ่างเก็บน้ำห้วยสร้อยศรี ต.จุน อ.จุน จ.พะเยา</v>
      </c>
      <c r="C38" s="11" t="str">
        <f>[7]รายการสรุป!$I$5</f>
        <v>0700340084410438</v>
      </c>
      <c r="D38" s="29" t="s">
        <v>23</v>
      </c>
      <c r="E38" s="52">
        <f t="shared" ref="E38" si="103">F38+G38</f>
        <v>37000</v>
      </c>
      <c r="F38" s="52">
        <v>0</v>
      </c>
      <c r="G38" s="53">
        <f>[7]รายการสรุป!$J$5</f>
        <v>37000</v>
      </c>
      <c r="H38" s="52">
        <f t="shared" ref="H38" si="104">J38+K38</f>
        <v>0</v>
      </c>
      <c r="I38" s="52">
        <f t="shared" ref="I38" si="105">H38*100/E38</f>
        <v>0</v>
      </c>
      <c r="J38" s="52">
        <v>0</v>
      </c>
      <c r="K38" s="52"/>
      <c r="L38" s="52">
        <f t="shared" ref="L38" si="106">N38+O38</f>
        <v>0</v>
      </c>
      <c r="M38" s="52">
        <f t="shared" ref="M38" si="107">L38*100/E38</f>
        <v>0</v>
      </c>
      <c r="N38" s="52">
        <v>0</v>
      </c>
      <c r="O38" s="52">
        <v>0</v>
      </c>
      <c r="P38" s="52">
        <f t="shared" si="99"/>
        <v>37000</v>
      </c>
      <c r="Q38" s="52">
        <f t="shared" ref="Q38" si="108">P38*100/E38</f>
        <v>100</v>
      </c>
      <c r="R38" s="52">
        <f t="shared" si="101"/>
        <v>0</v>
      </c>
      <c r="S38" s="52">
        <f t="shared" si="102"/>
        <v>37000</v>
      </c>
    </row>
    <row r="39" spans="1:19" ht="30" customHeight="1" x14ac:dyDescent="0.5">
      <c r="A39" s="9"/>
      <c r="B39" s="18" t="s">
        <v>59</v>
      </c>
      <c r="C39" s="18"/>
      <c r="D39" s="24"/>
      <c r="E39" s="19">
        <f>F39+G39</f>
        <v>405000</v>
      </c>
      <c r="F39" s="19">
        <f>SUM(F40:F42)</f>
        <v>0</v>
      </c>
      <c r="G39" s="19">
        <f>SUM(G40:G41)</f>
        <v>405000</v>
      </c>
      <c r="H39" s="19">
        <f>J39+K39</f>
        <v>254016.2</v>
      </c>
      <c r="I39" s="19">
        <f>H39*100/E39</f>
        <v>62.720049382716049</v>
      </c>
      <c r="J39" s="19">
        <f>SUM(J40)</f>
        <v>0</v>
      </c>
      <c r="K39" s="19">
        <f>SUM(K40:K41)</f>
        <v>254016.2</v>
      </c>
      <c r="L39" s="19">
        <f>N39+O39</f>
        <v>0</v>
      </c>
      <c r="M39" s="19">
        <f>L39*100/E39</f>
        <v>0</v>
      </c>
      <c r="N39" s="19">
        <f>SUM(N40)</f>
        <v>0</v>
      </c>
      <c r="O39" s="19">
        <f>SUM(O40:O41)</f>
        <v>0</v>
      </c>
      <c r="P39" s="19">
        <f t="shared" ref="P39:P40" si="109">R39+S39</f>
        <v>150983.79999999999</v>
      </c>
      <c r="Q39" s="19">
        <f>P39*100/E39</f>
        <v>37.279950617283944</v>
      </c>
      <c r="R39" s="19">
        <f t="shared" ref="R39:R40" si="110">F39-J39-N39</f>
        <v>0</v>
      </c>
      <c r="S39" s="19">
        <f t="shared" ref="S39:S40" si="111">G39-K39-O39</f>
        <v>150983.79999999999</v>
      </c>
    </row>
    <row r="40" spans="1:19" ht="30" customHeight="1" x14ac:dyDescent="0.5">
      <c r="A40" s="9">
        <v>29</v>
      </c>
      <c r="B40" s="11" t="str">
        <f>[8]รายการสรุป!$E$5</f>
        <v>ระบบส่งน้ำฝั่งขวานาสาโครงการพัฒนาพื้นที่สูงแบบโครงการหลวงแม่จริม ต.แม่จริม อ.แม่จริม จ.น่าน</v>
      </c>
      <c r="C40" s="11" t="str">
        <f>[8]รายการสรุป!$I$5</f>
        <v>0700340084420008</v>
      </c>
      <c r="D40" s="29" t="s">
        <v>23</v>
      </c>
      <c r="E40" s="52">
        <f t="shared" ref="E40" si="112">F40+G40</f>
        <v>405000</v>
      </c>
      <c r="F40" s="52">
        <v>0</v>
      </c>
      <c r="G40" s="53">
        <f>[8]รายการสรุป!$J$5</f>
        <v>405000</v>
      </c>
      <c r="H40" s="52">
        <f t="shared" ref="H40" si="113">J40+K40</f>
        <v>254016.2</v>
      </c>
      <c r="I40" s="52">
        <f t="shared" ref="I40" si="114">H40*100/E40</f>
        <v>62.720049382716049</v>
      </c>
      <c r="J40" s="52">
        <v>0</v>
      </c>
      <c r="K40" s="52">
        <f>66654.8+17500+7218+73004.4+3966+8505+23894+6886+3966+11102+10280+21040</f>
        <v>254016.2</v>
      </c>
      <c r="L40" s="52">
        <f t="shared" ref="L40" si="115">N40+O40</f>
        <v>0</v>
      </c>
      <c r="M40" s="52">
        <f t="shared" ref="M40" si="116">L40*100/E40</f>
        <v>0</v>
      </c>
      <c r="N40" s="52">
        <v>0</v>
      </c>
      <c r="O40" s="52">
        <v>0</v>
      </c>
      <c r="P40" s="52">
        <f t="shared" si="109"/>
        <v>150983.79999999999</v>
      </c>
      <c r="Q40" s="52">
        <f t="shared" ref="Q40" si="117">P40*100/E40</f>
        <v>37.279950617283944</v>
      </c>
      <c r="R40" s="52">
        <f t="shared" si="110"/>
        <v>0</v>
      </c>
      <c r="S40" s="52">
        <f t="shared" si="111"/>
        <v>150983.79999999999</v>
      </c>
    </row>
    <row r="41" spans="1:19" ht="30" customHeight="1" x14ac:dyDescent="0.5">
      <c r="A41" s="9">
        <v>30</v>
      </c>
      <c r="B41" s="11" t="str">
        <f>[9]รายการสรุป!$E$6</f>
        <v>ฝายห้วยแฮต2 พร้อมระบบส่งน้ำโครงการพัฒนาพื้นที่สูงแบบโครงการหลวงสะเนียน ต.สะเนียน อ.เมือง จ.น่าน</v>
      </c>
      <c r="C41" s="11" t="str">
        <f>[9]รายการสรุป!$I$6</f>
        <v>0700340084410421</v>
      </c>
      <c r="D41" s="29" t="s">
        <v>62</v>
      </c>
      <c r="E41" s="52">
        <f t="shared" ref="E41" si="118">F41+G41</f>
        <v>0</v>
      </c>
      <c r="F41" s="52">
        <v>0</v>
      </c>
      <c r="G41" s="53">
        <f>[9]รายการสรุป!$J$6</f>
        <v>0</v>
      </c>
      <c r="H41" s="52">
        <f t="shared" ref="H41" si="119">J41+K41</f>
        <v>0</v>
      </c>
      <c r="I41" s="52" t="e">
        <f t="shared" ref="I41" si="120">H41*100/E41</f>
        <v>#DIV/0!</v>
      </c>
      <c r="J41" s="52">
        <v>0</v>
      </c>
      <c r="K41" s="52">
        <v>0</v>
      </c>
      <c r="L41" s="52">
        <f t="shared" ref="L41" si="121">N41+O41</f>
        <v>0</v>
      </c>
      <c r="M41" s="52" t="e">
        <f t="shared" ref="M41" si="122">L41*100/E41</f>
        <v>#DIV/0!</v>
      </c>
      <c r="N41" s="52">
        <v>0</v>
      </c>
      <c r="O41" s="52">
        <v>0</v>
      </c>
      <c r="P41" s="52">
        <f t="shared" ref="P41" si="123">R41+S41</f>
        <v>0</v>
      </c>
      <c r="Q41" s="52" t="e">
        <f t="shared" ref="Q41" si="124">P41*100/E41</f>
        <v>#DIV/0!</v>
      </c>
      <c r="R41" s="52">
        <f t="shared" ref="R41" si="125">F41-J41-N41</f>
        <v>0</v>
      </c>
      <c r="S41" s="52">
        <f t="shared" ref="S41" si="126">G41-K41-O41</f>
        <v>0</v>
      </c>
    </row>
    <row r="42" spans="1:19" ht="36" customHeight="1" x14ac:dyDescent="0.5">
      <c r="A42" s="9"/>
      <c r="B42" s="20" t="s">
        <v>28</v>
      </c>
      <c r="C42" s="20"/>
      <c r="D42" s="23"/>
      <c r="E42" s="21">
        <f>G42+F42</f>
        <v>21076784</v>
      </c>
      <c r="F42" s="22">
        <f>F43+F57+F78+F88+F90+F108+F114+F117+F120+F125+F127</f>
        <v>0</v>
      </c>
      <c r="G42" s="21">
        <f>G43+G57+G78+G88+G90+G108+G114+G117+G120+G125+G127</f>
        <v>21076784</v>
      </c>
      <c r="H42" s="22">
        <f>K42+J42</f>
        <v>9547551.1300000008</v>
      </c>
      <c r="I42" s="22">
        <f>H42*100/E42</f>
        <v>45.298899158429492</v>
      </c>
      <c r="J42" s="22">
        <f>J43+J57+J78+J88+J90+J108+J114+J117+J120+J125+J127</f>
        <v>0</v>
      </c>
      <c r="K42" s="22">
        <f>K43+K57+K78+K88+K90+K108+K114+K117+K120+K125+K127</f>
        <v>9547551.1300000008</v>
      </c>
      <c r="L42" s="22">
        <f>O42+N42</f>
        <v>0</v>
      </c>
      <c r="M42" s="20"/>
      <c r="N42" s="22">
        <f>N43+N57+N78+N90+N88+N108+N114+N117+N120</f>
        <v>0</v>
      </c>
      <c r="O42" s="22">
        <f>O43+O57+O78+O88+O90+O108+O114+O117+O120+O125</f>
        <v>0</v>
      </c>
      <c r="P42" s="22">
        <f>S42+R42</f>
        <v>11529232.869999999</v>
      </c>
      <c r="Q42" s="21">
        <f>P42*100/E42</f>
        <v>54.701100841570515</v>
      </c>
      <c r="R42" s="22">
        <f>F42-J42-N42</f>
        <v>0</v>
      </c>
      <c r="S42" s="22">
        <f>G42-K42-O42</f>
        <v>11529232.869999999</v>
      </c>
    </row>
    <row r="43" spans="1:19" ht="35.25" customHeight="1" x14ac:dyDescent="0.5">
      <c r="A43" s="9"/>
      <c r="B43" s="18" t="s">
        <v>22</v>
      </c>
      <c r="C43" s="18"/>
      <c r="D43" s="24"/>
      <c r="E43" s="19">
        <f>F43+G43</f>
        <v>439300</v>
      </c>
      <c r="F43" s="19">
        <f>SUM(F44:F54)</f>
        <v>0</v>
      </c>
      <c r="G43" s="19">
        <f>SUM(G44:G56)</f>
        <v>439300</v>
      </c>
      <c r="H43" s="19">
        <f>J43+K43</f>
        <v>290051.36</v>
      </c>
      <c r="I43" s="19">
        <f>H43*100/E43</f>
        <v>66.025804689278402</v>
      </c>
      <c r="J43" s="19">
        <f>SUM(J44:J54)</f>
        <v>0</v>
      </c>
      <c r="K43" s="19">
        <f>SUM(K44:K56)</f>
        <v>290051.36</v>
      </c>
      <c r="L43" s="19">
        <f>N43+O43</f>
        <v>0</v>
      </c>
      <c r="M43" s="19">
        <f>L43*100/E43</f>
        <v>0</v>
      </c>
      <c r="N43" s="19">
        <f>SUM(N44:N54)</f>
        <v>0</v>
      </c>
      <c r="O43" s="19">
        <f>SUM(O44:O56)</f>
        <v>0</v>
      </c>
      <c r="P43" s="19">
        <f t="shared" ref="P43:P44" si="127">R43+S43</f>
        <v>149248.64000000001</v>
      </c>
      <c r="Q43" s="19">
        <f>P43*100/E43</f>
        <v>33.974195310721605</v>
      </c>
      <c r="R43" s="19">
        <f t="shared" ref="R43:R44" si="128">F43-J43-N43</f>
        <v>0</v>
      </c>
      <c r="S43" s="19">
        <f t="shared" ref="S43:S44" si="129">G43-K43-O43</f>
        <v>149248.64000000001</v>
      </c>
    </row>
    <row r="44" spans="1:19" ht="33" customHeight="1" x14ac:dyDescent="0.5">
      <c r="A44" s="9">
        <v>31</v>
      </c>
      <c r="B44" s="11" t="str">
        <f>[10]รายการสรุป!$E$5</f>
        <v>ซ่อมแซมระบบส่งน้ำอ่างเก็บน้ำแม่สัน(เหมืองบ้านทุ่งเกวียน)โครงการชลประทานลำปาง ต.แม่สัน อ.ห้างฉัตร จ.ลำปาง</v>
      </c>
      <c r="C44" s="54" t="str">
        <f>[10]รายการสรุป!$I$5</f>
        <v>0700349052410478</v>
      </c>
      <c r="D44" s="57" t="s">
        <v>29</v>
      </c>
      <c r="E44" s="52">
        <f t="shared" ref="E44" si="130">F44+G44</f>
        <v>83000</v>
      </c>
      <c r="F44" s="52">
        <v>0</v>
      </c>
      <c r="G44" s="53">
        <f>[10]รายการสรุป!$J$5</f>
        <v>83000</v>
      </c>
      <c r="H44" s="52">
        <f t="shared" ref="H44" si="131">J44+K44</f>
        <v>77612.2</v>
      </c>
      <c r="I44" s="52">
        <f t="shared" ref="I44" si="132">H44*100/E44</f>
        <v>93.508674698795176</v>
      </c>
      <c r="J44" s="52">
        <v>0</v>
      </c>
      <c r="K44" s="52">
        <f>52372.2+4640+20600</f>
        <v>77612.2</v>
      </c>
      <c r="L44" s="52">
        <f t="shared" ref="L44" si="133">N44+O44</f>
        <v>0</v>
      </c>
      <c r="M44" s="52">
        <f t="shared" ref="M44" si="134">L44*100/E44</f>
        <v>0</v>
      </c>
      <c r="N44" s="52">
        <v>0</v>
      </c>
      <c r="O44" s="52">
        <v>0</v>
      </c>
      <c r="P44" s="52">
        <f t="shared" si="127"/>
        <v>5387.8000000000029</v>
      </c>
      <c r="Q44" s="52">
        <f t="shared" ref="Q44" si="135">P44*100/E44</f>
        <v>6.4913253012048218</v>
      </c>
      <c r="R44" s="52">
        <f t="shared" si="128"/>
        <v>0</v>
      </c>
      <c r="S44" s="52">
        <f t="shared" si="129"/>
        <v>5387.8000000000029</v>
      </c>
    </row>
    <row r="45" spans="1:19" ht="33" customHeight="1" x14ac:dyDescent="0.5">
      <c r="A45" s="9">
        <v>32</v>
      </c>
      <c r="B45" s="11" t="str">
        <f>[10]รายการสรุป!$E$6</f>
        <v>ซ่อมแซมระบบส่งน้ำฝั่งขวาอ่างเก็บน้ำแม่ค่อมโครงการชลประทานลำปาง ต.บ้านเอื้อม อ.เมือง จ.ลำปาง</v>
      </c>
      <c r="C45" s="54" t="str">
        <f>[10]รายการสรุป!$I$6</f>
        <v>0700349052410479</v>
      </c>
      <c r="D45" s="57" t="s">
        <v>29</v>
      </c>
      <c r="E45" s="52">
        <f t="shared" ref="E45:E54" si="136">F45+G45</f>
        <v>56700</v>
      </c>
      <c r="F45" s="52">
        <v>0</v>
      </c>
      <c r="G45" s="53">
        <f>[10]รายการสรุป!$J$6</f>
        <v>56700</v>
      </c>
      <c r="H45" s="52">
        <f t="shared" ref="H45:H54" si="137">J45+K45</f>
        <v>55717.3</v>
      </c>
      <c r="I45" s="52">
        <f t="shared" ref="I45:I54" si="138">H45*100/E45</f>
        <v>98.266843033509701</v>
      </c>
      <c r="J45" s="52">
        <v>0</v>
      </c>
      <c r="K45" s="52">
        <f>8153.3+25746+7210+5148+9460</f>
        <v>55717.3</v>
      </c>
      <c r="L45" s="52">
        <f t="shared" ref="L45:L54" si="139">N45+O45</f>
        <v>0</v>
      </c>
      <c r="M45" s="52">
        <f t="shared" ref="M45:M54" si="140">L45*100/E45</f>
        <v>0</v>
      </c>
      <c r="N45" s="52">
        <v>0</v>
      </c>
      <c r="O45" s="52">
        <v>0</v>
      </c>
      <c r="P45" s="52">
        <f t="shared" ref="P45:P57" si="141">R45+S45</f>
        <v>982.69999999999709</v>
      </c>
      <c r="Q45" s="52">
        <f t="shared" ref="Q45:Q54" si="142">P45*100/E45</f>
        <v>1.7331569664902946</v>
      </c>
      <c r="R45" s="52">
        <f t="shared" ref="R45:R57" si="143">F45-J45-N45</f>
        <v>0</v>
      </c>
      <c r="S45" s="52">
        <f t="shared" ref="S45:S57" si="144">G45-K45-O45</f>
        <v>982.69999999999709</v>
      </c>
    </row>
    <row r="46" spans="1:19" ht="29.25" customHeight="1" x14ac:dyDescent="0.5">
      <c r="A46" s="9">
        <v>33</v>
      </c>
      <c r="B46" s="11" t="str">
        <f>[10]รายการสรุป!$E$7</f>
        <v>ซ่อมแซมอาคารบังคับน้ำอ่างเก็บน้ำห้วยแม่หยวกโครงการชลประทานลำปาง ต.ปงดอน อ.แจ้ห่ม จ.ลำปาง</v>
      </c>
      <c r="C46" s="54" t="str">
        <f>[10]รายการสรุป!$I$7</f>
        <v>0700349052410481</v>
      </c>
      <c r="D46" s="57" t="s">
        <v>29</v>
      </c>
      <c r="E46" s="52">
        <f t="shared" si="136"/>
        <v>3800</v>
      </c>
      <c r="F46" s="52">
        <v>0</v>
      </c>
      <c r="G46" s="53">
        <f>[10]รายการสรุป!$J$7</f>
        <v>3800</v>
      </c>
      <c r="H46" s="52">
        <f t="shared" si="137"/>
        <v>3782</v>
      </c>
      <c r="I46" s="52">
        <f t="shared" si="138"/>
        <v>99.526315789473685</v>
      </c>
      <c r="J46" s="52">
        <v>0</v>
      </c>
      <c r="K46" s="52">
        <f>3782</f>
        <v>3782</v>
      </c>
      <c r="L46" s="52">
        <f t="shared" si="139"/>
        <v>0</v>
      </c>
      <c r="M46" s="52">
        <f t="shared" si="140"/>
        <v>0</v>
      </c>
      <c r="N46" s="52">
        <v>0</v>
      </c>
      <c r="O46" s="52">
        <v>0</v>
      </c>
      <c r="P46" s="52">
        <f t="shared" si="141"/>
        <v>18</v>
      </c>
      <c r="Q46" s="52">
        <f t="shared" si="142"/>
        <v>0.47368421052631576</v>
      </c>
      <c r="R46" s="52">
        <f t="shared" si="143"/>
        <v>0</v>
      </c>
      <c r="S46" s="52">
        <f t="shared" si="144"/>
        <v>18</v>
      </c>
    </row>
    <row r="47" spans="1:19" ht="29.25" customHeight="1" x14ac:dyDescent="0.5">
      <c r="A47" s="9">
        <v>34</v>
      </c>
      <c r="B47" s="11" t="str">
        <f>[10]รายการสรุป!$E$8</f>
        <v>ซ่อมแซมอาคารบังคับน้ำอ่างเก็บน้ำห้วยส้มโครงการชลประทานลำปาง ต.บ้านแหง อ.งาว จ.ลำปาง</v>
      </c>
      <c r="C47" s="54" t="str">
        <f>[10]รายการสรุป!$I$8</f>
        <v>0700349052410482</v>
      </c>
      <c r="D47" s="57" t="s">
        <v>29</v>
      </c>
      <c r="E47" s="52">
        <f t="shared" si="136"/>
        <v>1500</v>
      </c>
      <c r="F47" s="52">
        <v>0</v>
      </c>
      <c r="G47" s="53">
        <f>[10]รายการสรุป!$J$8</f>
        <v>1500</v>
      </c>
      <c r="H47" s="52">
        <f t="shared" si="137"/>
        <v>0</v>
      </c>
      <c r="I47" s="52">
        <f t="shared" si="138"/>
        <v>0</v>
      </c>
      <c r="J47" s="52">
        <v>0</v>
      </c>
      <c r="K47" s="52"/>
      <c r="L47" s="52">
        <f t="shared" si="139"/>
        <v>0</v>
      </c>
      <c r="M47" s="52">
        <f t="shared" si="140"/>
        <v>0</v>
      </c>
      <c r="N47" s="52">
        <v>0</v>
      </c>
      <c r="O47" s="52">
        <v>0</v>
      </c>
      <c r="P47" s="52">
        <f t="shared" si="141"/>
        <v>1500</v>
      </c>
      <c r="Q47" s="52">
        <f t="shared" si="142"/>
        <v>100</v>
      </c>
      <c r="R47" s="52">
        <f t="shared" si="143"/>
        <v>0</v>
      </c>
      <c r="S47" s="52">
        <f t="shared" si="144"/>
        <v>1500</v>
      </c>
    </row>
    <row r="48" spans="1:19" ht="33.75" customHeight="1" x14ac:dyDescent="0.5">
      <c r="A48" s="9">
        <v>35</v>
      </c>
      <c r="B48" s="11" t="str">
        <f>[10]รายการสรุป!$E$9</f>
        <v>ซ่อมแซมคลองส่งน้ำอ่างเก็บน้ำแม่สัน(เหมืองฝายต้นต้อง)โครงการชลประทานลำปาง ต.แม่สัน อ.ห้างฉัตร จ.ลำปาง</v>
      </c>
      <c r="C48" s="54" t="str">
        <f>[10]รายการสรุป!$I$9</f>
        <v>0700349052410483</v>
      </c>
      <c r="D48" s="57" t="s">
        <v>29</v>
      </c>
      <c r="E48" s="52">
        <f t="shared" si="136"/>
        <v>62000</v>
      </c>
      <c r="F48" s="52">
        <v>0</v>
      </c>
      <c r="G48" s="53">
        <f>[10]รายการสรุป!$J$9</f>
        <v>62000</v>
      </c>
      <c r="H48" s="52">
        <f t="shared" si="137"/>
        <v>34914.800000000003</v>
      </c>
      <c r="I48" s="52">
        <f t="shared" si="138"/>
        <v>56.314193548387102</v>
      </c>
      <c r="J48" s="52">
        <v>0</v>
      </c>
      <c r="K48" s="52">
        <f>34914.8</f>
        <v>34914.800000000003</v>
      </c>
      <c r="L48" s="52">
        <f t="shared" si="139"/>
        <v>0</v>
      </c>
      <c r="M48" s="52">
        <f t="shared" si="140"/>
        <v>0</v>
      </c>
      <c r="N48" s="52">
        <v>0</v>
      </c>
      <c r="O48" s="52">
        <v>0</v>
      </c>
      <c r="P48" s="52">
        <f t="shared" si="141"/>
        <v>27085.199999999997</v>
      </c>
      <c r="Q48" s="52">
        <f t="shared" si="142"/>
        <v>43.685806451612898</v>
      </c>
      <c r="R48" s="52">
        <f t="shared" si="143"/>
        <v>0</v>
      </c>
      <c r="S48" s="52">
        <f t="shared" si="144"/>
        <v>27085.199999999997</v>
      </c>
    </row>
    <row r="49" spans="1:20" ht="30" customHeight="1" x14ac:dyDescent="0.5">
      <c r="A49" s="9">
        <v>36</v>
      </c>
      <c r="B49" s="11" t="str">
        <f>[10]รายการสรุป!$E$10</f>
        <v>ซ่อมแซมคลองส่งน้ำซอยทุ่งพร้าวอ่างเก็บน้ำห้วยเป้งโครงการชลประทานลำปาง ต.ทุ่งกว๋าว อ.เมืองปาน จ.ลำปาง</v>
      </c>
      <c r="C49" s="54" t="str">
        <f>[10]รายการสรุป!$I$10</f>
        <v>0700349052410484</v>
      </c>
      <c r="D49" s="57" t="s">
        <v>29</v>
      </c>
      <c r="E49" s="52">
        <f t="shared" si="136"/>
        <v>13000</v>
      </c>
      <c r="F49" s="52">
        <v>0</v>
      </c>
      <c r="G49" s="53">
        <f>[10]รายการสรุป!$J$10</f>
        <v>13000</v>
      </c>
      <c r="H49" s="52">
        <f t="shared" si="137"/>
        <v>0</v>
      </c>
      <c r="I49" s="52">
        <f t="shared" si="138"/>
        <v>0</v>
      </c>
      <c r="J49" s="52">
        <v>0</v>
      </c>
      <c r="K49" s="52"/>
      <c r="L49" s="52">
        <f t="shared" si="139"/>
        <v>0</v>
      </c>
      <c r="M49" s="52">
        <f t="shared" si="140"/>
        <v>0</v>
      </c>
      <c r="N49" s="52">
        <v>0</v>
      </c>
      <c r="O49" s="52">
        <v>0</v>
      </c>
      <c r="P49" s="52">
        <f t="shared" si="141"/>
        <v>13000</v>
      </c>
      <c r="Q49" s="52">
        <f t="shared" si="142"/>
        <v>100</v>
      </c>
      <c r="R49" s="52">
        <f t="shared" si="143"/>
        <v>0</v>
      </c>
      <c r="S49" s="52">
        <f t="shared" si="144"/>
        <v>13000</v>
      </c>
    </row>
    <row r="50" spans="1:20" ht="33" customHeight="1" x14ac:dyDescent="0.5">
      <c r="A50" s="9">
        <v>37</v>
      </c>
      <c r="B50" s="11" t="str">
        <f>[10]รายการสรุป!$E$11</f>
        <v>ซ่อมแซมระบบท่อส่งน้ำอ่างเก็บน้ำแม่จอกโครงการชลประทานลำปาง ต.เสริมซ้าย อ.เสริมงาม จ.ลำปาง</v>
      </c>
      <c r="C50" s="54" t="str">
        <f>[10]รายการสรุป!$I$11</f>
        <v>0700349052410485</v>
      </c>
      <c r="D50" s="57" t="s">
        <v>29</v>
      </c>
      <c r="E50" s="52">
        <f t="shared" si="136"/>
        <v>14100</v>
      </c>
      <c r="F50" s="52">
        <v>0</v>
      </c>
      <c r="G50" s="53">
        <f>[10]รายการสรุป!$J$11</f>
        <v>14100</v>
      </c>
      <c r="H50" s="52">
        <f t="shared" si="137"/>
        <v>2620</v>
      </c>
      <c r="I50" s="52">
        <f t="shared" si="138"/>
        <v>18.581560283687942</v>
      </c>
      <c r="J50" s="52">
        <v>0</v>
      </c>
      <c r="K50" s="52">
        <f>2620</f>
        <v>2620</v>
      </c>
      <c r="L50" s="52">
        <f t="shared" si="139"/>
        <v>0</v>
      </c>
      <c r="M50" s="52">
        <f t="shared" si="140"/>
        <v>0</v>
      </c>
      <c r="N50" s="52">
        <v>0</v>
      </c>
      <c r="O50" s="52">
        <v>0</v>
      </c>
      <c r="P50" s="52">
        <f t="shared" si="141"/>
        <v>11480</v>
      </c>
      <c r="Q50" s="52">
        <f t="shared" si="142"/>
        <v>81.418439716312051</v>
      </c>
      <c r="R50" s="52">
        <f t="shared" si="143"/>
        <v>0</v>
      </c>
      <c r="S50" s="52">
        <f t="shared" si="144"/>
        <v>11480</v>
      </c>
    </row>
    <row r="51" spans="1:20" ht="33" customHeight="1" x14ac:dyDescent="0.5">
      <c r="A51" s="9">
        <v>38</v>
      </c>
      <c r="B51" s="11" t="str">
        <f>[10]รายการสรุป!$E$12</f>
        <v>ซ่อมแซมระบบส่งน้ำแม่ตา LMCอ่างเก็บน้ำแม่ตา โครงการชลประทานลำปาง ต.ปงดอน อ.แจ้ห่ม จ.ลำปาง</v>
      </c>
      <c r="C51" s="54" t="str">
        <f>[10]รายการสรุป!$I$12</f>
        <v>0700349052410486</v>
      </c>
      <c r="D51" s="57" t="s">
        <v>29</v>
      </c>
      <c r="E51" s="52">
        <f t="shared" si="136"/>
        <v>0</v>
      </c>
      <c r="F51" s="52">
        <v>0</v>
      </c>
      <c r="G51" s="53">
        <f>[11]รายการสรุป!$J$12</f>
        <v>0</v>
      </c>
      <c r="H51" s="52">
        <f t="shared" si="137"/>
        <v>0</v>
      </c>
      <c r="I51" s="52" t="e">
        <f t="shared" si="138"/>
        <v>#DIV/0!</v>
      </c>
      <c r="J51" s="52">
        <v>0</v>
      </c>
      <c r="K51" s="52"/>
      <c r="L51" s="52">
        <f t="shared" si="139"/>
        <v>0</v>
      </c>
      <c r="M51" s="52" t="e">
        <f t="shared" si="140"/>
        <v>#DIV/0!</v>
      </c>
      <c r="N51" s="52">
        <v>0</v>
      </c>
      <c r="O51" s="52">
        <v>0</v>
      </c>
      <c r="P51" s="52">
        <f t="shared" si="141"/>
        <v>0</v>
      </c>
      <c r="Q51" s="52" t="e">
        <f t="shared" si="142"/>
        <v>#DIV/0!</v>
      </c>
      <c r="R51" s="52">
        <f t="shared" si="143"/>
        <v>0</v>
      </c>
      <c r="S51" s="52">
        <f t="shared" si="144"/>
        <v>0</v>
      </c>
      <c r="T51" s="1" t="s">
        <v>58</v>
      </c>
    </row>
    <row r="52" spans="1:20" ht="33" customHeight="1" x14ac:dyDescent="0.5">
      <c r="A52" s="9">
        <v>39</v>
      </c>
      <c r="B52" s="11" t="str">
        <f>[10]รายการสรุป!$E$13</f>
        <v>ซ่อมแซมคลองส่งน้ำทุ่งนาใหม่อ่างเก็บน้ำห้วยเป้งโครงการชลประทานลำปาง ต.ทุ่งกว๋าว อ.เมืองปาน จ.ลำปาง</v>
      </c>
      <c r="C52" s="54" t="str">
        <f>[10]รายการสรุป!$I$13</f>
        <v>0700349052410487</v>
      </c>
      <c r="D52" s="57" t="s">
        <v>29</v>
      </c>
      <c r="E52" s="52">
        <f t="shared" si="136"/>
        <v>35000</v>
      </c>
      <c r="F52" s="52">
        <v>0</v>
      </c>
      <c r="G52" s="53">
        <f>[10]รายการสรุป!$J$13</f>
        <v>35000</v>
      </c>
      <c r="H52" s="52">
        <f t="shared" si="137"/>
        <v>29659.86</v>
      </c>
      <c r="I52" s="52">
        <f t="shared" si="138"/>
        <v>84.742457142857148</v>
      </c>
      <c r="J52" s="52">
        <v>0</v>
      </c>
      <c r="K52" s="52">
        <f>7400.07+3360+1740+11972+5187.79</f>
        <v>29659.86</v>
      </c>
      <c r="L52" s="52">
        <f t="shared" si="139"/>
        <v>0</v>
      </c>
      <c r="M52" s="52">
        <f t="shared" si="140"/>
        <v>0</v>
      </c>
      <c r="N52" s="52">
        <v>0</v>
      </c>
      <c r="O52" s="52">
        <v>0</v>
      </c>
      <c r="P52" s="52">
        <f t="shared" si="141"/>
        <v>5340.1399999999994</v>
      </c>
      <c r="Q52" s="52">
        <f t="shared" si="142"/>
        <v>15.257542857142857</v>
      </c>
      <c r="R52" s="52">
        <f t="shared" si="143"/>
        <v>0</v>
      </c>
      <c r="S52" s="52">
        <f t="shared" si="144"/>
        <v>5340.1399999999994</v>
      </c>
    </row>
    <row r="53" spans="1:20" ht="33" customHeight="1" x14ac:dyDescent="0.5">
      <c r="A53" s="9">
        <v>40</v>
      </c>
      <c r="B53" s="11" t="str">
        <f>[10]รายการสรุป!$E$14</f>
        <v>ซ่อมแซมระบบส่งน้ำฝายห้วยหลวง(อ่างเก็บน้ำห้วยหลวง)โครงการชลประทานลำปาง ต.สบปราบ อ.สบปราบ จ.ลำปาง</v>
      </c>
      <c r="C53" s="54" t="str">
        <f>[10]รายการสรุป!$I$14</f>
        <v>0700349052410488</v>
      </c>
      <c r="D53" s="57" t="s">
        <v>29</v>
      </c>
      <c r="E53" s="52">
        <f t="shared" si="136"/>
        <v>34200</v>
      </c>
      <c r="F53" s="52">
        <v>0</v>
      </c>
      <c r="G53" s="53">
        <f>[10]รายการสรุป!$J$14</f>
        <v>34200</v>
      </c>
      <c r="H53" s="52">
        <f t="shared" si="137"/>
        <v>19361.400000000001</v>
      </c>
      <c r="I53" s="52">
        <f t="shared" si="138"/>
        <v>56.612280701754393</v>
      </c>
      <c r="J53" s="52">
        <v>0</v>
      </c>
      <c r="K53" s="52">
        <f>9441.4+9920</f>
        <v>19361.400000000001</v>
      </c>
      <c r="L53" s="52">
        <f t="shared" si="139"/>
        <v>0</v>
      </c>
      <c r="M53" s="52">
        <f t="shared" si="140"/>
        <v>0</v>
      </c>
      <c r="N53" s="52">
        <v>0</v>
      </c>
      <c r="O53" s="52">
        <v>0</v>
      </c>
      <c r="P53" s="52">
        <f t="shared" si="141"/>
        <v>14838.599999999999</v>
      </c>
      <c r="Q53" s="52">
        <f t="shared" si="142"/>
        <v>43.387719298245607</v>
      </c>
      <c r="R53" s="52">
        <f t="shared" si="143"/>
        <v>0</v>
      </c>
      <c r="S53" s="52">
        <f t="shared" si="144"/>
        <v>14838.599999999999</v>
      </c>
    </row>
    <row r="54" spans="1:20" ht="29.25" customHeight="1" x14ac:dyDescent="0.5">
      <c r="A54" s="9">
        <v>41</v>
      </c>
      <c r="B54" s="11" t="str">
        <f>[10]รายการสรุป!$E$15</f>
        <v>ซ่อมแซมระบบส่งน้ำทุ่งแอดระยะที่ 1โครงการชลประทานลำปาง ต.บ้านขอ อ.เมืองปาน จ.ลำปาง</v>
      </c>
      <c r="C54" s="54" t="str">
        <f>[10]รายการสรุป!$I$15</f>
        <v>0700349052410489</v>
      </c>
      <c r="D54" s="57" t="s">
        <v>29</v>
      </c>
      <c r="E54" s="52">
        <f t="shared" si="136"/>
        <v>56000</v>
      </c>
      <c r="F54" s="52">
        <v>0</v>
      </c>
      <c r="G54" s="53">
        <f>[10]รายการสรุป!$J$15</f>
        <v>56000</v>
      </c>
      <c r="H54" s="52">
        <f t="shared" si="137"/>
        <v>43126.8</v>
      </c>
      <c r="I54" s="52">
        <f t="shared" si="138"/>
        <v>77.012142857142862</v>
      </c>
      <c r="J54" s="52">
        <v>0</v>
      </c>
      <c r="K54" s="52">
        <f>34914.8+4278+3934</f>
        <v>43126.8</v>
      </c>
      <c r="L54" s="52">
        <f t="shared" si="139"/>
        <v>0</v>
      </c>
      <c r="M54" s="52">
        <f t="shared" si="140"/>
        <v>0</v>
      </c>
      <c r="N54" s="52">
        <v>0</v>
      </c>
      <c r="O54" s="52">
        <v>0</v>
      </c>
      <c r="P54" s="52">
        <f t="shared" si="141"/>
        <v>12873.199999999997</v>
      </c>
      <c r="Q54" s="52">
        <f t="shared" si="142"/>
        <v>22.987857142857138</v>
      </c>
      <c r="R54" s="52">
        <f t="shared" si="143"/>
        <v>0</v>
      </c>
      <c r="S54" s="52">
        <f t="shared" si="144"/>
        <v>12873.199999999997</v>
      </c>
    </row>
    <row r="55" spans="1:20" ht="29.25" customHeight="1" x14ac:dyDescent="0.5">
      <c r="A55" s="9">
        <v>42</v>
      </c>
      <c r="B55" s="11" t="str">
        <f>[11]รายการสรุป!$E$16</f>
        <v>ซ่อมแซมคลองส่งน้ำซอยทุ่งใน อ่างเก็บน้ำแพะทุ่งกว๋าว โครงการชลประทานลำปาง ต.ทุ่งกว๋าว อ.เมืองปาน  จ.ลำปาง</v>
      </c>
      <c r="C55" s="54" t="str">
        <f>[11]รายการสรุป!$I$16</f>
        <v>0700349052410480</v>
      </c>
      <c r="D55" s="57" t="s">
        <v>60</v>
      </c>
      <c r="E55" s="52">
        <f t="shared" ref="E55" si="145">F55+G55</f>
        <v>35000</v>
      </c>
      <c r="F55" s="52">
        <v>0</v>
      </c>
      <c r="G55" s="53">
        <f>[11]รายการสรุป!$J$16</f>
        <v>35000</v>
      </c>
      <c r="H55" s="52">
        <f t="shared" ref="H55" si="146">J55+K55</f>
        <v>23257</v>
      </c>
      <c r="I55" s="52">
        <f t="shared" ref="I55" si="147">H55*100/E55</f>
        <v>66.448571428571427</v>
      </c>
      <c r="J55" s="52">
        <v>0</v>
      </c>
      <c r="K55" s="52">
        <f>23257</f>
        <v>23257</v>
      </c>
      <c r="L55" s="52">
        <f t="shared" ref="L55" si="148">N55+O55</f>
        <v>0</v>
      </c>
      <c r="M55" s="52">
        <f t="shared" ref="M55" si="149">L55*100/E55</f>
        <v>0</v>
      </c>
      <c r="N55" s="52">
        <v>0</v>
      </c>
      <c r="O55" s="52">
        <v>0</v>
      </c>
      <c r="P55" s="52">
        <f t="shared" ref="P55" si="150">R55+S55</f>
        <v>11743</v>
      </c>
      <c r="Q55" s="52">
        <f t="shared" ref="Q55" si="151">P55*100/E55</f>
        <v>33.551428571428573</v>
      </c>
      <c r="R55" s="52">
        <f t="shared" ref="R55" si="152">F55-J55-N55</f>
        <v>0</v>
      </c>
      <c r="S55" s="52">
        <f t="shared" ref="S55" si="153">G55-K55-O55</f>
        <v>11743</v>
      </c>
    </row>
    <row r="56" spans="1:20" ht="29.25" customHeight="1" x14ac:dyDescent="0.5">
      <c r="A56" s="9">
        <v>43</v>
      </c>
      <c r="B56" s="11" t="str">
        <f>[11]รายการสรุป!$E$17</f>
        <v>ซ่อมแซมพนังป้องกันตลิ่งแม่น้ำวังท้ายเขื่อนกิ่วคอหมาเพื่อป้องกันน้ำท่วมกม.14+450 ยาว 100 เมตร</v>
      </c>
      <c r="C56" s="54" t="str">
        <f>[11]รายการสรุป!$I$17</f>
        <v>0700349052410ZS4</v>
      </c>
      <c r="D56" s="57" t="s">
        <v>77</v>
      </c>
      <c r="E56" s="52">
        <f t="shared" ref="E56" si="154">F56+G56</f>
        <v>45000</v>
      </c>
      <c r="F56" s="52">
        <v>0</v>
      </c>
      <c r="G56" s="53">
        <f>[11]รายการสรุป!$J$17</f>
        <v>45000</v>
      </c>
      <c r="H56" s="52">
        <f t="shared" ref="H56" si="155">J56+K56</f>
        <v>0</v>
      </c>
      <c r="I56" s="52">
        <f t="shared" ref="I56" si="156">H56*100/E56</f>
        <v>0</v>
      </c>
      <c r="J56" s="52">
        <v>0</v>
      </c>
      <c r="K56" s="52">
        <v>0</v>
      </c>
      <c r="L56" s="52">
        <f t="shared" ref="L56" si="157">N56+O56</f>
        <v>0</v>
      </c>
      <c r="M56" s="52">
        <f t="shared" ref="M56" si="158">L56*100/E56</f>
        <v>0</v>
      </c>
      <c r="N56" s="52">
        <v>0</v>
      </c>
      <c r="O56" s="52">
        <v>0</v>
      </c>
      <c r="P56" s="52">
        <f t="shared" ref="P56" si="159">R56+S56</f>
        <v>45000</v>
      </c>
      <c r="Q56" s="52">
        <f t="shared" ref="Q56" si="160">P56*100/E56</f>
        <v>100</v>
      </c>
      <c r="R56" s="52">
        <f t="shared" ref="R56" si="161">F56-J56-N56</f>
        <v>0</v>
      </c>
      <c r="S56" s="52">
        <f t="shared" ref="S56" si="162">G56-K56-O56</f>
        <v>45000</v>
      </c>
    </row>
    <row r="57" spans="1:20" ht="31.5" customHeight="1" x14ac:dyDescent="0.5">
      <c r="A57" s="9"/>
      <c r="B57" s="18" t="s">
        <v>24</v>
      </c>
      <c r="C57" s="18"/>
      <c r="D57" s="24"/>
      <c r="E57" s="19">
        <f>F57+G57</f>
        <v>610400</v>
      </c>
      <c r="F57" s="19">
        <f>SUM(F58:F76)</f>
        <v>0</v>
      </c>
      <c r="G57" s="19">
        <f>SUM(G58:G77)</f>
        <v>610400</v>
      </c>
      <c r="H57" s="19">
        <f>J57+K57</f>
        <v>450224.96</v>
      </c>
      <c r="I57" s="19">
        <f>H57*100/E57</f>
        <v>73.759003931847971</v>
      </c>
      <c r="J57" s="19">
        <f>SUM(J58:J76)</f>
        <v>0</v>
      </c>
      <c r="K57" s="19">
        <f>SUM(K58:K77)</f>
        <v>450224.96</v>
      </c>
      <c r="L57" s="19">
        <f>N57+O57</f>
        <v>0</v>
      </c>
      <c r="M57" s="19">
        <f>L57*100/E57</f>
        <v>0</v>
      </c>
      <c r="N57" s="19">
        <f>SUM(N58:N76)</f>
        <v>0</v>
      </c>
      <c r="O57" s="19">
        <f>SUM(O58:O77)</f>
        <v>0</v>
      </c>
      <c r="P57" s="19">
        <f t="shared" si="141"/>
        <v>160175.03999999998</v>
      </c>
      <c r="Q57" s="19">
        <f>P57*100/E57</f>
        <v>26.240996068152029</v>
      </c>
      <c r="R57" s="19">
        <f t="shared" si="143"/>
        <v>0</v>
      </c>
      <c r="S57" s="19">
        <f t="shared" si="144"/>
        <v>160175.03999999998</v>
      </c>
    </row>
    <row r="58" spans="1:20" ht="30.75" customHeight="1" x14ac:dyDescent="0.5">
      <c r="A58" s="9">
        <v>44</v>
      </c>
      <c r="B58" s="11" t="str">
        <f>[12]รายการสรุป!$E$5</f>
        <v>ซ่อมแซมคลองส่งน้ำอ่างเก็บน้ำแม่ใจโครงการชลประทานพะเยา ต.เจริญราษฎร์ อ.แม่ใจ จ.พะเยา</v>
      </c>
      <c r="C58" s="54" t="str">
        <f>[12]รายการสรุป!$I$5</f>
        <v>0700349052410457</v>
      </c>
      <c r="D58" s="57" t="s">
        <v>29</v>
      </c>
      <c r="E58" s="52">
        <f t="shared" ref="E58" si="163">F58+G58</f>
        <v>39000</v>
      </c>
      <c r="F58" s="52">
        <v>0</v>
      </c>
      <c r="G58" s="53">
        <f>[12]รายการสรุป!$J$5</f>
        <v>39000</v>
      </c>
      <c r="H58" s="52">
        <f t="shared" ref="H58" si="164">J58+K58</f>
        <v>26186.1</v>
      </c>
      <c r="I58" s="52">
        <f t="shared" ref="I58" si="165">H58*100/E58</f>
        <v>67.143846153846155</v>
      </c>
      <c r="J58" s="52">
        <v>0</v>
      </c>
      <c r="K58" s="52">
        <f>26186.1</f>
        <v>26186.1</v>
      </c>
      <c r="L58" s="52">
        <f t="shared" ref="L58" si="166">N58+O58</f>
        <v>0</v>
      </c>
      <c r="M58" s="52">
        <f t="shared" ref="M58" si="167">L58*100/E58</f>
        <v>0</v>
      </c>
      <c r="N58" s="52">
        <v>0</v>
      </c>
      <c r="O58" s="52">
        <v>0</v>
      </c>
      <c r="P58" s="52">
        <f t="shared" ref="P58" si="168">R58+S58</f>
        <v>12813.900000000001</v>
      </c>
      <c r="Q58" s="52">
        <f t="shared" ref="Q58" si="169">P58*100/E58</f>
        <v>32.856153846153852</v>
      </c>
      <c r="R58" s="52">
        <f t="shared" ref="R58" si="170">F58-J58-N58</f>
        <v>0</v>
      </c>
      <c r="S58" s="52">
        <f t="shared" ref="S58" si="171">G58-K58-O58</f>
        <v>12813.900000000001</v>
      </c>
    </row>
    <row r="59" spans="1:20" ht="30.75" customHeight="1" x14ac:dyDescent="0.5">
      <c r="A59" s="9">
        <v>45</v>
      </c>
      <c r="B59" s="11" t="str">
        <f>[12]รายการสรุป!$E$6</f>
        <v>ซ่อมแซมระบบสูบน้ำด้วยพลิงน้ำอ่างเก็บน้ำแม่ปืมโครงการชลประทานพะเยา ต.บ้านเหล่า อ.แม่ใจ จ.พะเยา</v>
      </c>
      <c r="C59" s="54" t="str">
        <f>[12]รายการสรุป!$I$6</f>
        <v>0700349052410458</v>
      </c>
      <c r="D59" s="57" t="s">
        <v>29</v>
      </c>
      <c r="E59" s="52">
        <f t="shared" ref="E59:E76" si="172">F59+G59</f>
        <v>22300</v>
      </c>
      <c r="F59" s="52">
        <v>0</v>
      </c>
      <c r="G59" s="53">
        <f>[12]รายการสรุป!$J$6</f>
        <v>22300</v>
      </c>
      <c r="H59" s="52">
        <f t="shared" ref="H59:H76" si="173">J59+K59</f>
        <v>22158.080000000002</v>
      </c>
      <c r="I59" s="52">
        <f t="shared" ref="I59:I76" si="174">H59*100/E59</f>
        <v>99.363587443946187</v>
      </c>
      <c r="J59" s="52">
        <v>0</v>
      </c>
      <c r="K59" s="52">
        <f>9396+5890+6872.08</f>
        <v>22158.080000000002</v>
      </c>
      <c r="L59" s="52">
        <f t="shared" ref="L59:L76" si="175">N59+O59</f>
        <v>0</v>
      </c>
      <c r="M59" s="52">
        <f t="shared" ref="M59:M76" si="176">L59*100/E59</f>
        <v>0</v>
      </c>
      <c r="N59" s="52">
        <v>0</v>
      </c>
      <c r="O59" s="52">
        <v>0</v>
      </c>
      <c r="P59" s="52">
        <f t="shared" ref="P59:P78" si="177">R59+S59</f>
        <v>141.91999999999825</v>
      </c>
      <c r="Q59" s="52">
        <f t="shared" ref="Q59:Q76" si="178">P59*100/E59</f>
        <v>0.63641255605380387</v>
      </c>
      <c r="R59" s="52">
        <f t="shared" ref="R59:R78" si="179">F59-J59-N59</f>
        <v>0</v>
      </c>
      <c r="S59" s="52">
        <f t="shared" ref="S59:S78" si="180">G59-K59-O59</f>
        <v>141.91999999999825</v>
      </c>
    </row>
    <row r="60" spans="1:20" ht="30.75" customHeight="1" x14ac:dyDescent="0.5">
      <c r="A60" s="9">
        <v>46</v>
      </c>
      <c r="B60" s="11" t="str">
        <f>[12]รายการสรุป!$E$7</f>
        <v>ซ่อมแซมคลองส่งน้ำสาย1L-LMCอ่างเก็บน้ำห้วยซ้ายโครงการชลประทานพะเยา ต.ทุ่งกล้วย อ.ภูซาง จ.พะเยา</v>
      </c>
      <c r="C60" s="54" t="str">
        <f>[12]รายการสรุป!$I$7</f>
        <v>0700349052410459</v>
      </c>
      <c r="D60" s="57" t="s">
        <v>29</v>
      </c>
      <c r="E60" s="52">
        <f t="shared" si="172"/>
        <v>13800</v>
      </c>
      <c r="F60" s="52">
        <v>0</v>
      </c>
      <c r="G60" s="53">
        <f>[12]รายการสรุป!$J$7</f>
        <v>13800</v>
      </c>
      <c r="H60" s="52">
        <f t="shared" si="173"/>
        <v>8728.7000000000007</v>
      </c>
      <c r="I60" s="52">
        <f t="shared" si="174"/>
        <v>63.251449275362326</v>
      </c>
      <c r="J60" s="52">
        <v>0</v>
      </c>
      <c r="K60" s="52">
        <f>8728.7</f>
        <v>8728.7000000000007</v>
      </c>
      <c r="L60" s="52">
        <f t="shared" si="175"/>
        <v>0</v>
      </c>
      <c r="M60" s="52">
        <f t="shared" si="176"/>
        <v>0</v>
      </c>
      <c r="N60" s="52">
        <v>0</v>
      </c>
      <c r="O60" s="52">
        <v>0</v>
      </c>
      <c r="P60" s="52">
        <f t="shared" si="177"/>
        <v>5071.2999999999993</v>
      </c>
      <c r="Q60" s="52">
        <f t="shared" si="178"/>
        <v>36.748550724637674</v>
      </c>
      <c r="R60" s="52">
        <f t="shared" si="179"/>
        <v>0</v>
      </c>
      <c r="S60" s="52">
        <f t="shared" si="180"/>
        <v>5071.2999999999993</v>
      </c>
    </row>
    <row r="61" spans="1:20" ht="45.75" customHeight="1" x14ac:dyDescent="0.5">
      <c r="A61" s="9">
        <v>47</v>
      </c>
      <c r="B61" s="11" t="str">
        <f>[12]รายการสรุป!$E$8</f>
        <v>ซ่อมแซมหินเรียงป้องกันการกักเซาะตอม่อสะพานน้ำสาย LMCและ RMCโครงการชลประทานพะเยา ต.จุน อ.จุน จ.พะเยา</v>
      </c>
      <c r="C61" s="54" t="str">
        <f>[12]รายการสรุป!$I$8</f>
        <v>0700349052410460</v>
      </c>
      <c r="D61" s="57" t="s">
        <v>29</v>
      </c>
      <c r="E61" s="52">
        <f t="shared" si="172"/>
        <v>46600</v>
      </c>
      <c r="F61" s="52">
        <v>0</v>
      </c>
      <c r="G61" s="53">
        <f>[13]รายการสรุป!$J$8</f>
        <v>46600</v>
      </c>
      <c r="H61" s="52">
        <f t="shared" si="173"/>
        <v>37628.11</v>
      </c>
      <c r="I61" s="52">
        <f t="shared" si="174"/>
        <v>80.747017167381969</v>
      </c>
      <c r="J61" s="52">
        <v>0</v>
      </c>
      <c r="K61" s="52">
        <f>26186.1+6960+4482.01</f>
        <v>37628.11</v>
      </c>
      <c r="L61" s="52">
        <f t="shared" si="175"/>
        <v>0</v>
      </c>
      <c r="M61" s="52">
        <f t="shared" si="176"/>
        <v>0</v>
      </c>
      <c r="N61" s="52">
        <v>0</v>
      </c>
      <c r="O61" s="52">
        <v>0</v>
      </c>
      <c r="P61" s="52">
        <f t="shared" si="177"/>
        <v>8971.89</v>
      </c>
      <c r="Q61" s="52">
        <f t="shared" si="178"/>
        <v>19.252982832618027</v>
      </c>
      <c r="R61" s="52">
        <f t="shared" si="179"/>
        <v>0</v>
      </c>
      <c r="S61" s="52">
        <f t="shared" si="180"/>
        <v>8971.89</v>
      </c>
    </row>
    <row r="62" spans="1:20" ht="30.75" customHeight="1" x14ac:dyDescent="0.5">
      <c r="A62" s="9">
        <v>48</v>
      </c>
      <c r="B62" s="11" t="str">
        <f>[12]รายการสรุป!$E$9</f>
        <v>ซ่อมแซมคลองส่งน้ำสายทุ่งขามอ่างเก็บน้ำห้วยไฟโครงการชลประทานพะเยา ต.ป่าสัก อ.ภูซาง จ.พะเยา</v>
      </c>
      <c r="C62" s="54" t="str">
        <f>[12]รายการสรุป!$I$9</f>
        <v>0700349052410461</v>
      </c>
      <c r="D62" s="57" t="s">
        <v>29</v>
      </c>
      <c r="E62" s="52">
        <f t="shared" si="172"/>
        <v>44400</v>
      </c>
      <c r="F62" s="52">
        <v>0</v>
      </c>
      <c r="G62" s="53">
        <f>[12]รายการสรุป!$J$9</f>
        <v>44400</v>
      </c>
      <c r="H62" s="52">
        <f t="shared" si="173"/>
        <v>37196.199999999997</v>
      </c>
      <c r="I62" s="52">
        <f t="shared" si="174"/>
        <v>83.775225225225213</v>
      </c>
      <c r="J62" s="52">
        <v>0</v>
      </c>
      <c r="K62" s="52">
        <f>28324.2+8872</f>
        <v>37196.199999999997</v>
      </c>
      <c r="L62" s="52">
        <f t="shared" si="175"/>
        <v>0</v>
      </c>
      <c r="M62" s="52">
        <f t="shared" si="176"/>
        <v>0</v>
      </c>
      <c r="N62" s="52">
        <v>0</v>
      </c>
      <c r="O62" s="52">
        <v>0</v>
      </c>
      <c r="P62" s="52">
        <f t="shared" si="177"/>
        <v>7203.8000000000029</v>
      </c>
      <c r="Q62" s="52">
        <f t="shared" si="178"/>
        <v>16.224774774774779</v>
      </c>
      <c r="R62" s="52">
        <f t="shared" si="179"/>
        <v>0</v>
      </c>
      <c r="S62" s="52">
        <f t="shared" si="180"/>
        <v>7203.8000000000029</v>
      </c>
    </row>
    <row r="63" spans="1:20" ht="30.75" customHeight="1" x14ac:dyDescent="0.5">
      <c r="A63" s="9">
        <v>49</v>
      </c>
      <c r="B63" s="11" t="str">
        <f>[12]รายการสรุป!$E$10</f>
        <v>ซ่อมแซมคลองส่งน้ำสายดงกู่และสายห้วยเต๋ยอ่างเก็บน้ำแม่สุกโครงการชลประทานพะเยา ต.แม่สุก อ.แม่ใจ จ.พะเยา</v>
      </c>
      <c r="C63" s="54" t="str">
        <f>[12]รายการสรุป!$I$10</f>
        <v>0700349052410462</v>
      </c>
      <c r="D63" s="57" t="s">
        <v>29</v>
      </c>
      <c r="E63" s="52">
        <f t="shared" si="172"/>
        <v>35000</v>
      </c>
      <c r="F63" s="52">
        <v>0</v>
      </c>
      <c r="G63" s="53">
        <f>[12]รายการสรุป!$J$10</f>
        <v>35000</v>
      </c>
      <c r="H63" s="52">
        <f t="shared" si="173"/>
        <v>34926.559999999998</v>
      </c>
      <c r="I63" s="52">
        <f t="shared" si="174"/>
        <v>99.790171428571426</v>
      </c>
      <c r="J63" s="52">
        <v>0</v>
      </c>
      <c r="K63" s="52">
        <f>8331.85+2320+9125.55+1280+5880+7989.16</f>
        <v>34926.559999999998</v>
      </c>
      <c r="L63" s="52">
        <f t="shared" si="175"/>
        <v>0</v>
      </c>
      <c r="M63" s="52">
        <f t="shared" si="176"/>
        <v>0</v>
      </c>
      <c r="N63" s="52">
        <v>0</v>
      </c>
      <c r="O63" s="52">
        <v>0</v>
      </c>
      <c r="P63" s="52">
        <f t="shared" si="177"/>
        <v>73.440000000002328</v>
      </c>
      <c r="Q63" s="52">
        <f t="shared" si="178"/>
        <v>0.20982857142857808</v>
      </c>
      <c r="R63" s="52">
        <f t="shared" si="179"/>
        <v>0</v>
      </c>
      <c r="S63" s="52">
        <f t="shared" si="180"/>
        <v>73.440000000002328</v>
      </c>
    </row>
    <row r="64" spans="1:20" ht="30.75" customHeight="1" x14ac:dyDescent="0.5">
      <c r="A64" s="9">
        <v>50</v>
      </c>
      <c r="B64" s="11" t="str">
        <f>[12]รายการสรุป!$E$11</f>
        <v>ซ่อมแซมระบบไฟฟ้าสถานีสูบน้ำด้วยไฟฟ้าบ้านเชียงคานโครงการชลประทานพะเยา ต.เชียงบาน อ.เชียงคำ จ.พะเยา</v>
      </c>
      <c r="C64" s="54" t="str">
        <f>[12]รายการสรุป!$I$11</f>
        <v>0700349052410463</v>
      </c>
      <c r="D64" s="57" t="s">
        <v>29</v>
      </c>
      <c r="E64" s="52">
        <f t="shared" si="172"/>
        <v>21000</v>
      </c>
      <c r="F64" s="52">
        <v>0</v>
      </c>
      <c r="G64" s="53">
        <f>[12]รายการสรุป!$J$11</f>
        <v>21000</v>
      </c>
      <c r="H64" s="52">
        <f t="shared" si="173"/>
        <v>14417</v>
      </c>
      <c r="I64" s="52">
        <f t="shared" si="174"/>
        <v>68.652380952380952</v>
      </c>
      <c r="J64" s="52">
        <v>0</v>
      </c>
      <c r="K64" s="52">
        <f>14417</f>
        <v>14417</v>
      </c>
      <c r="L64" s="52">
        <f t="shared" si="175"/>
        <v>0</v>
      </c>
      <c r="M64" s="52">
        <f t="shared" si="176"/>
        <v>0</v>
      </c>
      <c r="N64" s="52">
        <v>0</v>
      </c>
      <c r="O64" s="52">
        <v>0</v>
      </c>
      <c r="P64" s="52">
        <f t="shared" si="177"/>
        <v>6583</v>
      </c>
      <c r="Q64" s="52">
        <f t="shared" si="178"/>
        <v>31.347619047619048</v>
      </c>
      <c r="R64" s="52">
        <f t="shared" si="179"/>
        <v>0</v>
      </c>
      <c r="S64" s="52">
        <f t="shared" si="180"/>
        <v>6583</v>
      </c>
    </row>
    <row r="65" spans="1:19" ht="30.75" customHeight="1" x14ac:dyDescent="0.5">
      <c r="A65" s="9">
        <v>51</v>
      </c>
      <c r="B65" s="11" t="str">
        <f>[12]รายการสรุป!$E$12</f>
        <v>ซ่อมแซมคลองส่งน้ำสาย5R-RMCอ่างเก็บน้ำห้วยสาโครงการชลประทานพะเยา ต.ร่มเย็น อ.เชียงคำ จ.พะเยา</v>
      </c>
      <c r="C65" s="54" t="str">
        <f>[12]รายการสรุป!$I$12</f>
        <v>0700349052410464</v>
      </c>
      <c r="D65" s="57" t="s">
        <v>29</v>
      </c>
      <c r="E65" s="52">
        <f t="shared" si="172"/>
        <v>14100</v>
      </c>
      <c r="F65" s="52">
        <v>0</v>
      </c>
      <c r="G65" s="53">
        <f>[12]รายการสรุป!$J$12</f>
        <v>14100</v>
      </c>
      <c r="H65" s="52">
        <f t="shared" si="173"/>
        <v>9840</v>
      </c>
      <c r="I65" s="52">
        <f t="shared" si="174"/>
        <v>69.787234042553195</v>
      </c>
      <c r="J65" s="52">
        <v>0</v>
      </c>
      <c r="K65" s="52">
        <f>9840</f>
        <v>9840</v>
      </c>
      <c r="L65" s="52">
        <f t="shared" si="175"/>
        <v>0</v>
      </c>
      <c r="M65" s="52">
        <f t="shared" si="176"/>
        <v>0</v>
      </c>
      <c r="N65" s="52">
        <v>0</v>
      </c>
      <c r="O65" s="52">
        <v>0</v>
      </c>
      <c r="P65" s="52">
        <f t="shared" si="177"/>
        <v>4260</v>
      </c>
      <c r="Q65" s="52">
        <f t="shared" si="178"/>
        <v>30.212765957446809</v>
      </c>
      <c r="R65" s="52">
        <f t="shared" si="179"/>
        <v>0</v>
      </c>
      <c r="S65" s="52">
        <f t="shared" si="180"/>
        <v>4260</v>
      </c>
    </row>
    <row r="66" spans="1:19" ht="50.25" customHeight="1" x14ac:dyDescent="0.5">
      <c r="A66" s="9">
        <v>52</v>
      </c>
      <c r="B66" s="11" t="str">
        <f>[12]รายการสรุป!$E$13</f>
        <v>ซ่อมแซมคอนกรีตดาดรับน้ำหน้าอาคารทางระบายน้ำล้นอ่างเก็บน้ำน้ำจุน โครงการชลประทานพะเยา ต.จุน อ.จุน จ.พะเยา</v>
      </c>
      <c r="C66" s="54" t="str">
        <f>[12]รายการสรุป!$I$13</f>
        <v>0700349052410465</v>
      </c>
      <c r="D66" s="57" t="s">
        <v>29</v>
      </c>
      <c r="E66" s="52">
        <f t="shared" si="172"/>
        <v>46000</v>
      </c>
      <c r="F66" s="52">
        <v>0</v>
      </c>
      <c r="G66" s="53">
        <f>[12]รายการสรุป!$J$13</f>
        <v>46000</v>
      </c>
      <c r="H66" s="52">
        <f t="shared" si="173"/>
        <v>28324.2</v>
      </c>
      <c r="I66" s="52">
        <f t="shared" si="174"/>
        <v>61.574347826086957</v>
      </c>
      <c r="J66" s="52">
        <v>0</v>
      </c>
      <c r="K66" s="52">
        <f>28324.2</f>
        <v>28324.2</v>
      </c>
      <c r="L66" s="52">
        <f t="shared" si="175"/>
        <v>0</v>
      </c>
      <c r="M66" s="52">
        <f t="shared" si="176"/>
        <v>0</v>
      </c>
      <c r="N66" s="52">
        <v>0</v>
      </c>
      <c r="O66" s="52">
        <v>0</v>
      </c>
      <c r="P66" s="52">
        <f t="shared" si="177"/>
        <v>17675.8</v>
      </c>
      <c r="Q66" s="52">
        <f t="shared" si="178"/>
        <v>38.425652173913043</v>
      </c>
      <c r="R66" s="52">
        <f t="shared" si="179"/>
        <v>0</v>
      </c>
      <c r="S66" s="52">
        <f t="shared" si="180"/>
        <v>17675.8</v>
      </c>
    </row>
    <row r="67" spans="1:19" ht="30.75" customHeight="1" x14ac:dyDescent="0.5">
      <c r="A67" s="9">
        <v>53</v>
      </c>
      <c r="B67" s="11" t="str">
        <f>[12]รายการสรุป!$E$14</f>
        <v>ซ่อมแซมคลองส่งน้ำสายทุ่งลาวอ่างเก็บน้ำห้วยบงโครงการชลประทานพะเยา ต.ทุ่งกล้วย อ.ภูซาง จ.พะเยา</v>
      </c>
      <c r="C67" s="54" t="str">
        <f>[12]รายการสรุป!$I$14</f>
        <v>0700349052410466</v>
      </c>
      <c r="D67" s="57" t="s">
        <v>29</v>
      </c>
      <c r="E67" s="52">
        <f t="shared" si="172"/>
        <v>35100</v>
      </c>
      <c r="F67" s="52">
        <v>0</v>
      </c>
      <c r="G67" s="53">
        <f>[12]รายการสรุป!$J$14</f>
        <v>35100</v>
      </c>
      <c r="H67" s="52">
        <f t="shared" si="173"/>
        <v>23676</v>
      </c>
      <c r="I67" s="52">
        <f t="shared" si="174"/>
        <v>67.452991452991455</v>
      </c>
      <c r="J67" s="52">
        <v>0</v>
      </c>
      <c r="K67" s="52">
        <f>23676</f>
        <v>23676</v>
      </c>
      <c r="L67" s="52">
        <f t="shared" si="175"/>
        <v>0</v>
      </c>
      <c r="M67" s="52">
        <f t="shared" si="176"/>
        <v>0</v>
      </c>
      <c r="N67" s="52">
        <v>0</v>
      </c>
      <c r="O67" s="52">
        <v>0</v>
      </c>
      <c r="P67" s="52">
        <f t="shared" si="177"/>
        <v>11424</v>
      </c>
      <c r="Q67" s="52">
        <f t="shared" si="178"/>
        <v>32.547008547008545</v>
      </c>
      <c r="R67" s="52">
        <f t="shared" si="179"/>
        <v>0</v>
      </c>
      <c r="S67" s="52">
        <f t="shared" si="180"/>
        <v>11424</v>
      </c>
    </row>
    <row r="68" spans="1:19" ht="30.75" customHeight="1" x14ac:dyDescent="0.5">
      <c r="A68" s="9">
        <v>54</v>
      </c>
      <c r="B68" s="11" t="str">
        <f>[12]รายการสรุป!$E$15</f>
        <v>ซ่อมแซงคลองส่งน้ำสายเหมืองหลวงบ้านเหล่าอ่างเก็บน้ำห้วยตุ่นโครงการชลประทานพะเยา ต.บ้านตุ่น อเมือง จ.พะเยา</v>
      </c>
      <c r="C68" s="54" t="str">
        <f>[12]รายการสรุป!$I$15</f>
        <v>0700349052410467</v>
      </c>
      <c r="D68" s="57" t="s">
        <v>29</v>
      </c>
      <c r="E68" s="52">
        <f t="shared" si="172"/>
        <v>35000</v>
      </c>
      <c r="F68" s="52">
        <v>0</v>
      </c>
      <c r="G68" s="53">
        <f>[12]รายการสรุป!$J$15</f>
        <v>35000</v>
      </c>
      <c r="H68" s="52">
        <f t="shared" si="173"/>
        <v>17457.400000000001</v>
      </c>
      <c r="I68" s="52">
        <f t="shared" si="174"/>
        <v>49.878285714285724</v>
      </c>
      <c r="J68" s="52">
        <v>0</v>
      </c>
      <c r="K68" s="52">
        <f>17457.4</f>
        <v>17457.400000000001</v>
      </c>
      <c r="L68" s="52">
        <f t="shared" si="175"/>
        <v>0</v>
      </c>
      <c r="M68" s="52">
        <f t="shared" si="176"/>
        <v>0</v>
      </c>
      <c r="N68" s="52">
        <v>0</v>
      </c>
      <c r="O68" s="52">
        <v>0</v>
      </c>
      <c r="P68" s="52">
        <f t="shared" si="177"/>
        <v>17542.599999999999</v>
      </c>
      <c r="Q68" s="52">
        <f t="shared" si="178"/>
        <v>50.121714285714276</v>
      </c>
      <c r="R68" s="52">
        <f t="shared" si="179"/>
        <v>0</v>
      </c>
      <c r="S68" s="52">
        <f t="shared" si="180"/>
        <v>17542.599999999999</v>
      </c>
    </row>
    <row r="69" spans="1:19" ht="30.75" customHeight="1" x14ac:dyDescent="0.5">
      <c r="A69" s="9">
        <v>55</v>
      </c>
      <c r="B69" s="11" t="str">
        <f>[12]รายการสรุป!$E$16</f>
        <v>ซ่อมแซมคอนกรีตคลองส่งน้ำสาย 1L-RMCอ่างเก็บน้ำห้วยเคียนโครงการชลประทานพะเยา ต.ห้วยข้าวก่ำ อ.จุน จ.พะเยา</v>
      </c>
      <c r="C69" s="54" t="str">
        <f>[12]รายการสรุป!$I$16</f>
        <v>0700349052410469</v>
      </c>
      <c r="D69" s="57" t="s">
        <v>29</v>
      </c>
      <c r="E69" s="52">
        <f t="shared" si="172"/>
        <v>44500</v>
      </c>
      <c r="F69" s="52">
        <v>0</v>
      </c>
      <c r="G69" s="53">
        <f>[12]รายการสรุป!$J$16</f>
        <v>44500</v>
      </c>
      <c r="H69" s="52">
        <f t="shared" si="173"/>
        <v>44498.8</v>
      </c>
      <c r="I69" s="52">
        <f t="shared" si="174"/>
        <v>99.997303370786511</v>
      </c>
      <c r="J69" s="52">
        <v>0</v>
      </c>
      <c r="K69" s="52">
        <f>26898.8+1040+3360+13200</f>
        <v>44498.8</v>
      </c>
      <c r="L69" s="52">
        <f t="shared" si="175"/>
        <v>0</v>
      </c>
      <c r="M69" s="52">
        <f t="shared" si="176"/>
        <v>0</v>
      </c>
      <c r="N69" s="52">
        <v>0</v>
      </c>
      <c r="O69" s="52">
        <v>0</v>
      </c>
      <c r="P69" s="52">
        <f t="shared" si="177"/>
        <v>1.1999999999970896</v>
      </c>
      <c r="Q69" s="52">
        <f t="shared" si="178"/>
        <v>2.6966292134766061E-3</v>
      </c>
      <c r="R69" s="52">
        <f t="shared" si="179"/>
        <v>0</v>
      </c>
      <c r="S69" s="52">
        <f t="shared" si="180"/>
        <v>1.1999999999970896</v>
      </c>
    </row>
    <row r="70" spans="1:19" ht="30.75" customHeight="1" x14ac:dyDescent="0.5">
      <c r="A70" s="9">
        <v>56</v>
      </c>
      <c r="B70" s="11" t="str">
        <f>[12]รายการสรุป!$E$17</f>
        <v>ซ่อมแซมคลองส่งน้ำสายฝายวังเตาอ่างเก็บน้ำร่องส้านโครงการชลประทานพะเยา ต.ร่มเย็น อ.เชียงคำ จ.พะเยา</v>
      </c>
      <c r="C70" s="54" t="str">
        <f>[12]รายการสรุป!$I$17</f>
        <v>0700349052410470</v>
      </c>
      <c r="D70" s="57" t="s">
        <v>29</v>
      </c>
      <c r="E70" s="52">
        <f t="shared" si="172"/>
        <v>28200</v>
      </c>
      <c r="F70" s="52">
        <v>0</v>
      </c>
      <c r="G70" s="53">
        <f>[12]รายการสรุป!$J$17</f>
        <v>28200</v>
      </c>
      <c r="H70" s="52">
        <f t="shared" si="173"/>
        <v>25457.4</v>
      </c>
      <c r="I70" s="52">
        <f t="shared" si="174"/>
        <v>90.274468085106378</v>
      </c>
      <c r="J70" s="52">
        <v>0</v>
      </c>
      <c r="K70" s="52">
        <f>17457.4+8000</f>
        <v>25457.4</v>
      </c>
      <c r="L70" s="52">
        <f t="shared" si="175"/>
        <v>0</v>
      </c>
      <c r="M70" s="52">
        <f t="shared" si="176"/>
        <v>0</v>
      </c>
      <c r="N70" s="52">
        <v>0</v>
      </c>
      <c r="O70" s="52">
        <v>0</v>
      </c>
      <c r="P70" s="52">
        <f t="shared" si="177"/>
        <v>2742.5999999999985</v>
      </c>
      <c r="Q70" s="52">
        <f t="shared" si="178"/>
        <v>9.7255319148936135</v>
      </c>
      <c r="R70" s="52">
        <f t="shared" si="179"/>
        <v>0</v>
      </c>
      <c r="S70" s="52">
        <f t="shared" si="180"/>
        <v>2742.5999999999985</v>
      </c>
    </row>
    <row r="71" spans="1:19" ht="30.75" customHeight="1" x14ac:dyDescent="0.5">
      <c r="A71" s="9">
        <v>57</v>
      </c>
      <c r="B71" s="11" t="str">
        <f>[12]รายการสรุป!$E$18</f>
        <v>ซ่อมแซมคลองส่งน้ำท้ายท่อส่งน้ำสาย RMCอ่างเก็บน้ำแม่ปืมโครงการชลประทานพะเยา ต.บ้านเหล่า อ.แม่ใจ จ.พะเยา</v>
      </c>
      <c r="C71" s="54" t="str">
        <f>[12]รายการสรุป!$I$18</f>
        <v>0700349052410471</v>
      </c>
      <c r="D71" s="57" t="s">
        <v>29</v>
      </c>
      <c r="E71" s="52">
        <f t="shared" si="172"/>
        <v>14000</v>
      </c>
      <c r="F71" s="52">
        <v>0</v>
      </c>
      <c r="G71" s="53">
        <f>[12]รายการสรุป!$J$18</f>
        <v>14000</v>
      </c>
      <c r="H71" s="52">
        <f t="shared" si="173"/>
        <v>8728.7000000000007</v>
      </c>
      <c r="I71" s="52">
        <f t="shared" si="174"/>
        <v>62.347857142857151</v>
      </c>
      <c r="J71" s="52">
        <v>0</v>
      </c>
      <c r="K71" s="52">
        <f>8728.7</f>
        <v>8728.7000000000007</v>
      </c>
      <c r="L71" s="52">
        <f t="shared" si="175"/>
        <v>0</v>
      </c>
      <c r="M71" s="52">
        <f t="shared" si="176"/>
        <v>0</v>
      </c>
      <c r="N71" s="52">
        <v>0</v>
      </c>
      <c r="O71" s="52">
        <v>0</v>
      </c>
      <c r="P71" s="52">
        <f t="shared" si="177"/>
        <v>5271.2999999999993</v>
      </c>
      <c r="Q71" s="52">
        <f t="shared" si="178"/>
        <v>37.652142857142849</v>
      </c>
      <c r="R71" s="52">
        <f t="shared" si="179"/>
        <v>0</v>
      </c>
      <c r="S71" s="52">
        <f t="shared" si="180"/>
        <v>5271.2999999999993</v>
      </c>
    </row>
    <row r="72" spans="1:19" ht="30.75" customHeight="1" x14ac:dyDescent="0.5">
      <c r="A72" s="9">
        <v>58</v>
      </c>
      <c r="B72" s="11" t="str">
        <f>[12]รายการสรุป!$E$19</f>
        <v>ซ่อมแซมคอนกรีตคลองส่งน้ำสาย1R-1LMCอ่างเก็บน้ำแม่กำลังโครงการชลประทานพะเยา ต.ขุนควร อ.ปง จ.พะเยา</v>
      </c>
      <c r="C72" s="54" t="str">
        <f>[12]รายการสรุป!$I$19</f>
        <v>0700349052410472</v>
      </c>
      <c r="D72" s="57" t="s">
        <v>29</v>
      </c>
      <c r="E72" s="52">
        <f t="shared" si="172"/>
        <v>45000</v>
      </c>
      <c r="F72" s="52">
        <v>0</v>
      </c>
      <c r="G72" s="53">
        <f>[12]รายการสรุป!$J$19</f>
        <v>45000</v>
      </c>
      <c r="H72" s="52">
        <f t="shared" si="173"/>
        <v>26186.1</v>
      </c>
      <c r="I72" s="52">
        <f t="shared" si="174"/>
        <v>58.191333333333333</v>
      </c>
      <c r="J72" s="52">
        <v>0</v>
      </c>
      <c r="K72" s="52">
        <f>26186.1</f>
        <v>26186.1</v>
      </c>
      <c r="L72" s="52">
        <f t="shared" si="175"/>
        <v>0</v>
      </c>
      <c r="M72" s="52">
        <f t="shared" si="176"/>
        <v>0</v>
      </c>
      <c r="N72" s="52">
        <v>0</v>
      </c>
      <c r="O72" s="52">
        <v>0</v>
      </c>
      <c r="P72" s="52">
        <f t="shared" si="177"/>
        <v>18813.900000000001</v>
      </c>
      <c r="Q72" s="52">
        <f t="shared" si="178"/>
        <v>41.808666666666674</v>
      </c>
      <c r="R72" s="52">
        <f t="shared" si="179"/>
        <v>0</v>
      </c>
      <c r="S72" s="52">
        <f t="shared" si="180"/>
        <v>18813.900000000001</v>
      </c>
    </row>
    <row r="73" spans="1:19" ht="30.75" customHeight="1" x14ac:dyDescent="0.5">
      <c r="A73" s="9">
        <v>59</v>
      </c>
      <c r="B73" s="11" t="str">
        <f>[12]รายการสรุป!$E$20</f>
        <v>ซ่อมแซมคลองส่งน้ำรางรินฝายปางถ้ำ2 โครงการชลประทานพะเยา ต.ร่มเย็น อ.เชียงคำ จ.พะเยา</v>
      </c>
      <c r="C73" s="54" t="str">
        <f>[12]รายการสรุป!$I$20</f>
        <v>0700349052410473</v>
      </c>
      <c r="D73" s="57" t="s">
        <v>29</v>
      </c>
      <c r="E73" s="52">
        <f t="shared" si="172"/>
        <v>18000</v>
      </c>
      <c r="F73" s="52">
        <v>0</v>
      </c>
      <c r="G73" s="53">
        <f>[12]รายการสรุป!$J$20</f>
        <v>18000</v>
      </c>
      <c r="H73" s="52">
        <f t="shared" si="173"/>
        <v>17912</v>
      </c>
      <c r="I73" s="52">
        <f t="shared" si="174"/>
        <v>99.511111111111106</v>
      </c>
      <c r="J73" s="52">
        <v>0</v>
      </c>
      <c r="K73" s="52">
        <f>17912</f>
        <v>17912</v>
      </c>
      <c r="L73" s="52">
        <f t="shared" si="175"/>
        <v>0</v>
      </c>
      <c r="M73" s="52">
        <f t="shared" si="176"/>
        <v>0</v>
      </c>
      <c r="N73" s="52">
        <v>0</v>
      </c>
      <c r="O73" s="52">
        <v>0</v>
      </c>
      <c r="P73" s="52">
        <f t="shared" si="177"/>
        <v>88</v>
      </c>
      <c r="Q73" s="52">
        <f t="shared" si="178"/>
        <v>0.48888888888888887</v>
      </c>
      <c r="R73" s="52">
        <f t="shared" si="179"/>
        <v>0</v>
      </c>
      <c r="S73" s="52">
        <f t="shared" si="180"/>
        <v>88</v>
      </c>
    </row>
    <row r="74" spans="1:19" ht="45" customHeight="1" x14ac:dyDescent="0.5">
      <c r="A74" s="9">
        <v>60</v>
      </c>
      <c r="B74" s="11" t="str">
        <f>[12]รายการสรุป!$E$21</f>
        <v>ซ่อมแซมคลองส่งน้ำสาย1R-RMCกม.12+990ถึงกม13+440อ่างเก็บน้ำแม่ปืมโครงการชลประทานพะเยา ต.บ้านเหล่า อ.แม่ใจ.จ.พะเยา</v>
      </c>
      <c r="C74" s="54" t="str">
        <f>[12]รายการสรุป!$I$21</f>
        <v>0700349052410474</v>
      </c>
      <c r="D74" s="57" t="s">
        <v>29</v>
      </c>
      <c r="E74" s="52">
        <f t="shared" si="172"/>
        <v>23000</v>
      </c>
      <c r="F74" s="52">
        <v>0</v>
      </c>
      <c r="G74" s="53">
        <f>[12]รายการสรุป!$J$21</f>
        <v>23000</v>
      </c>
      <c r="H74" s="52">
        <f t="shared" si="173"/>
        <v>22901.010000000002</v>
      </c>
      <c r="I74" s="52">
        <f t="shared" si="174"/>
        <v>99.569608695652178</v>
      </c>
      <c r="J74" s="52">
        <v>0</v>
      </c>
      <c r="K74" s="52">
        <f>15480+7421.01</f>
        <v>22901.010000000002</v>
      </c>
      <c r="L74" s="52">
        <f t="shared" si="175"/>
        <v>0</v>
      </c>
      <c r="M74" s="52">
        <f t="shared" si="176"/>
        <v>0</v>
      </c>
      <c r="N74" s="52">
        <v>0</v>
      </c>
      <c r="O74" s="52">
        <v>0</v>
      </c>
      <c r="P74" s="52">
        <f t="shared" si="177"/>
        <v>98.989999999997963</v>
      </c>
      <c r="Q74" s="52">
        <f t="shared" si="178"/>
        <v>0.43039130434781725</v>
      </c>
      <c r="R74" s="52">
        <f t="shared" si="179"/>
        <v>0</v>
      </c>
      <c r="S74" s="52">
        <f t="shared" si="180"/>
        <v>98.989999999997963</v>
      </c>
    </row>
    <row r="75" spans="1:19" ht="30.75" customHeight="1" x14ac:dyDescent="0.5">
      <c r="A75" s="9">
        <v>61</v>
      </c>
      <c r="B75" s="11" t="str">
        <f>[12]รายการสรุป!$E$22</f>
        <v>ซ่อมแซมท่อส่งน้ำสาย LMCฝายน้ำสาวลูกที่ 2 โครงการชลประทานพะเยา ต.ขุนควร อ.ปง จ.พะเยา</v>
      </c>
      <c r="C75" s="54" t="str">
        <f>[12]รายการสรุป!$I$22</f>
        <v>0700349052410475</v>
      </c>
      <c r="D75" s="57" t="s">
        <v>29</v>
      </c>
      <c r="E75" s="52">
        <f t="shared" si="172"/>
        <v>39800</v>
      </c>
      <c r="F75" s="52">
        <v>0</v>
      </c>
      <c r="G75" s="53">
        <f>[12]รายการสรุป!$J$22</f>
        <v>39800</v>
      </c>
      <c r="H75" s="52">
        <f t="shared" si="173"/>
        <v>26186.1</v>
      </c>
      <c r="I75" s="52">
        <f t="shared" si="174"/>
        <v>65.79422110552764</v>
      </c>
      <c r="J75" s="52">
        <v>0</v>
      </c>
      <c r="K75" s="52">
        <f>26186.1</f>
        <v>26186.1</v>
      </c>
      <c r="L75" s="52">
        <f t="shared" si="175"/>
        <v>0</v>
      </c>
      <c r="M75" s="52">
        <f t="shared" si="176"/>
        <v>0</v>
      </c>
      <c r="N75" s="52">
        <v>0</v>
      </c>
      <c r="O75" s="52">
        <v>0</v>
      </c>
      <c r="P75" s="52">
        <f t="shared" si="177"/>
        <v>13613.900000000001</v>
      </c>
      <c r="Q75" s="52">
        <f t="shared" si="178"/>
        <v>34.205778894472367</v>
      </c>
      <c r="R75" s="52">
        <f t="shared" si="179"/>
        <v>0</v>
      </c>
      <c r="S75" s="52">
        <f t="shared" si="180"/>
        <v>13613.900000000001</v>
      </c>
    </row>
    <row r="76" spans="1:19" ht="30.75" customHeight="1" x14ac:dyDescent="0.5">
      <c r="A76" s="9">
        <v>62</v>
      </c>
      <c r="B76" s="11" t="str">
        <f>[12]รายการสรุป!$E$23</f>
        <v>ซ่อมแซมคลองส่งน้ำสายดงชาวบ้านอ่างเก็บน้ำห้วยซ้ายโครงการชลประทานพะเยา ต.ทุ่งกล้วย อ.ภูซาง จ.พะเยา</v>
      </c>
      <c r="C76" s="54" t="str">
        <f>[12]รายการสรุป!$I$23</f>
        <v>0700349052410476</v>
      </c>
      <c r="D76" s="57" t="s">
        <v>29</v>
      </c>
      <c r="E76" s="52">
        <f t="shared" si="172"/>
        <v>23400</v>
      </c>
      <c r="F76" s="52">
        <v>0</v>
      </c>
      <c r="G76" s="53">
        <f>[12]รายการสรุป!$J$23</f>
        <v>23400</v>
      </c>
      <c r="H76" s="52">
        <f t="shared" si="173"/>
        <v>0</v>
      </c>
      <c r="I76" s="52">
        <f t="shared" si="174"/>
        <v>0</v>
      </c>
      <c r="J76" s="52">
        <v>0</v>
      </c>
      <c r="K76" s="52"/>
      <c r="L76" s="52">
        <f t="shared" si="175"/>
        <v>0</v>
      </c>
      <c r="M76" s="52">
        <f t="shared" si="176"/>
        <v>0</v>
      </c>
      <c r="N76" s="52">
        <v>0</v>
      </c>
      <c r="O76" s="52">
        <v>0</v>
      </c>
      <c r="P76" s="52">
        <f t="shared" si="177"/>
        <v>23400</v>
      </c>
      <c r="Q76" s="52">
        <f t="shared" si="178"/>
        <v>100</v>
      </c>
      <c r="R76" s="52">
        <f t="shared" si="179"/>
        <v>0</v>
      </c>
      <c r="S76" s="52">
        <f t="shared" si="180"/>
        <v>23400</v>
      </c>
    </row>
    <row r="77" spans="1:19" ht="30.75" customHeight="1" x14ac:dyDescent="0.5">
      <c r="A77" s="9">
        <v>63</v>
      </c>
      <c r="B77" s="11" t="str">
        <f>[13]รายการสรุป!$E$24</f>
        <v>ซ่อมแซมเพิ่มประสิทธิภาพ ปตร.นาเจริญโครงการชลประทานพะเยา ต.อ่างทอง อ.เชียงคำ จ.พะเยา</v>
      </c>
      <c r="C77" s="54" t="str">
        <f>[13]รายการสรุป!$I$24</f>
        <v>0700349052410468</v>
      </c>
      <c r="D77" s="57" t="s">
        <v>60</v>
      </c>
      <c r="E77" s="52">
        <f t="shared" ref="E77" si="181">F77+G77</f>
        <v>22200</v>
      </c>
      <c r="F77" s="52">
        <v>0</v>
      </c>
      <c r="G77" s="53">
        <f>[13]รายการสรุป!$J$24</f>
        <v>22200</v>
      </c>
      <c r="H77" s="52">
        <f t="shared" ref="H77" si="182">J77+K77</f>
        <v>17816.5</v>
      </c>
      <c r="I77" s="52">
        <f t="shared" ref="I77" si="183">H77*100/E77</f>
        <v>80.25450450450451</v>
      </c>
      <c r="J77" s="52">
        <v>0</v>
      </c>
      <c r="K77" s="52">
        <f>8817.5+8999</f>
        <v>17816.5</v>
      </c>
      <c r="L77" s="52">
        <f t="shared" ref="L77" si="184">N77+O77</f>
        <v>0</v>
      </c>
      <c r="M77" s="52">
        <f t="shared" ref="M77" si="185">L77*100/E77</f>
        <v>0</v>
      </c>
      <c r="N77" s="52">
        <v>0</v>
      </c>
      <c r="O77" s="52">
        <v>0</v>
      </c>
      <c r="P77" s="52">
        <f t="shared" ref="P77" si="186">R77+S77</f>
        <v>4383.5</v>
      </c>
      <c r="Q77" s="52">
        <f t="shared" ref="Q77" si="187">P77*100/E77</f>
        <v>19.745495495495497</v>
      </c>
      <c r="R77" s="52">
        <f t="shared" ref="R77" si="188">F77-J77-N77</f>
        <v>0</v>
      </c>
      <c r="S77" s="52">
        <f t="shared" ref="S77" si="189">G77-K77-O77</f>
        <v>4383.5</v>
      </c>
    </row>
    <row r="78" spans="1:19" ht="33.75" customHeight="1" x14ac:dyDescent="0.5">
      <c r="A78" s="9"/>
      <c r="B78" s="18" t="s">
        <v>25</v>
      </c>
      <c r="C78" s="18"/>
      <c r="D78" s="24"/>
      <c r="E78" s="19">
        <f>F78+G78</f>
        <v>600300</v>
      </c>
      <c r="F78" s="19">
        <f>SUM(F79:F84)</f>
        <v>0</v>
      </c>
      <c r="G78" s="19">
        <f>SUM(G79:G87)</f>
        <v>600300</v>
      </c>
      <c r="H78" s="19">
        <f>J78+K78</f>
        <v>160687.48000000001</v>
      </c>
      <c r="I78" s="19">
        <f>H78*100/E78</f>
        <v>26.767862735299019</v>
      </c>
      <c r="J78" s="19">
        <f>SUM(J79:J84)</f>
        <v>0</v>
      </c>
      <c r="K78" s="19">
        <f>SUM(K79:K87)</f>
        <v>160687.48000000001</v>
      </c>
      <c r="L78" s="19">
        <f>N78+O78</f>
        <v>0</v>
      </c>
      <c r="M78" s="19">
        <f>L78*100/E78</f>
        <v>0</v>
      </c>
      <c r="N78" s="19">
        <f>SUM(N79:N84)</f>
        <v>0</v>
      </c>
      <c r="O78" s="19">
        <f>SUM(O79:O87)</f>
        <v>0</v>
      </c>
      <c r="P78" s="19">
        <f t="shared" si="177"/>
        <v>439612.52</v>
      </c>
      <c r="Q78" s="19">
        <f>P78*100/E78</f>
        <v>73.232137264700981</v>
      </c>
      <c r="R78" s="19">
        <f t="shared" si="179"/>
        <v>0</v>
      </c>
      <c r="S78" s="19">
        <f t="shared" si="180"/>
        <v>439612.52</v>
      </c>
    </row>
    <row r="79" spans="1:19" ht="33.75" customHeight="1" x14ac:dyDescent="0.5">
      <c r="A79" s="9">
        <v>64</v>
      </c>
      <c r="B79" s="11" t="str">
        <f>[14]รายการสรุป!$E$5</f>
        <v>ซ่อมแซมระบบส่งน้ำคลอง RMCอ่างเก็บน้ำน้ำแหง(กลางพรด.)โครงการชลประทานน่าน อ.นาน้อย จ.น่าน</v>
      </c>
      <c r="C79" s="54" t="str">
        <f>[14]รายการสรุป!$I$5</f>
        <v>0700349052410448</v>
      </c>
      <c r="D79" s="57" t="s">
        <v>29</v>
      </c>
      <c r="E79" s="52">
        <f t="shared" ref="E79" si="190">F79+G79</f>
        <v>62000</v>
      </c>
      <c r="F79" s="52">
        <v>0</v>
      </c>
      <c r="G79" s="53">
        <f>[14]รายการสรุป!$J$5</f>
        <v>62000</v>
      </c>
      <c r="H79" s="52">
        <f t="shared" ref="H79" si="191">J79+K79</f>
        <v>30824</v>
      </c>
      <c r="I79" s="52">
        <f t="shared" ref="I79" si="192">H79*100/E79</f>
        <v>49.716129032258067</v>
      </c>
      <c r="J79" s="52">
        <v>0</v>
      </c>
      <c r="K79" s="52">
        <f>13204+15610+2010</f>
        <v>30824</v>
      </c>
      <c r="L79" s="52">
        <f t="shared" ref="L79" si="193">N79+O79</f>
        <v>0</v>
      </c>
      <c r="M79" s="52">
        <f t="shared" ref="M79" si="194">L79*100/E79</f>
        <v>0</v>
      </c>
      <c r="N79" s="52">
        <v>0</v>
      </c>
      <c r="O79" s="52">
        <v>0</v>
      </c>
      <c r="P79" s="52">
        <f t="shared" ref="P79" si="195">R79+S79</f>
        <v>31176</v>
      </c>
      <c r="Q79" s="52">
        <f t="shared" ref="Q79" si="196">P79*100/E79</f>
        <v>50.283870967741933</v>
      </c>
      <c r="R79" s="52">
        <f t="shared" ref="R79" si="197">F79-J79-N79</f>
        <v>0</v>
      </c>
      <c r="S79" s="52">
        <f t="shared" ref="S79" si="198">G79-K79-O79</f>
        <v>31176</v>
      </c>
    </row>
    <row r="80" spans="1:19" ht="33.75" customHeight="1" x14ac:dyDescent="0.5">
      <c r="A80" s="9">
        <v>65</v>
      </c>
      <c r="B80" s="11" t="str">
        <f>[14]รายการสรุป!$E$6</f>
        <v>ซ่อมแซมคลองส่งน้ำ1R-RMCอ่างเก็บน้ำน้ำงอบโครงการชลประทานน่าน ต.งอบ อ.ทุ่งช้าง จ.น่าน</v>
      </c>
      <c r="C80" s="54" t="str">
        <f>[14]รายการสรุป!$I$6</f>
        <v>0700349052410450</v>
      </c>
      <c r="D80" s="57" t="s">
        <v>29</v>
      </c>
      <c r="E80" s="52">
        <f t="shared" ref="E80:E83" si="199">F80+G80</f>
        <v>37000</v>
      </c>
      <c r="F80" s="52">
        <v>0</v>
      </c>
      <c r="G80" s="53">
        <f>[14]รายการสรุป!$J$6</f>
        <v>37000</v>
      </c>
      <c r="H80" s="52">
        <f t="shared" ref="H80:H83" si="200">J80+K80</f>
        <v>10740</v>
      </c>
      <c r="I80" s="52">
        <f t="shared" ref="I80:I83" si="201">H80*100/E80</f>
        <v>29.027027027027028</v>
      </c>
      <c r="J80" s="52">
        <v>0</v>
      </c>
      <c r="K80" s="52">
        <f>10740</f>
        <v>10740</v>
      </c>
      <c r="L80" s="52">
        <f t="shared" ref="L80:L83" si="202">N80+O80</f>
        <v>0</v>
      </c>
      <c r="M80" s="52">
        <f t="shared" ref="M80:M83" si="203">L80*100/E80</f>
        <v>0</v>
      </c>
      <c r="N80" s="52">
        <v>0</v>
      </c>
      <c r="O80" s="52">
        <v>0</v>
      </c>
      <c r="P80" s="52">
        <f t="shared" ref="P80:P90" si="204">R80+S80</f>
        <v>26260</v>
      </c>
      <c r="Q80" s="52">
        <f t="shared" ref="Q80:Q83" si="205">P80*100/E80</f>
        <v>70.972972972972968</v>
      </c>
      <c r="R80" s="52">
        <f t="shared" ref="R80:R90" si="206">F80-J80-N80</f>
        <v>0</v>
      </c>
      <c r="S80" s="52">
        <f t="shared" ref="S80:S90" si="207">G80-K80-O80</f>
        <v>26260</v>
      </c>
    </row>
    <row r="81" spans="1:20" ht="33.75" customHeight="1" x14ac:dyDescent="0.5">
      <c r="A81" s="9">
        <v>66</v>
      </c>
      <c r="B81" s="11" t="str">
        <f>[14]รายการสรุป!$E$7</f>
        <v>ซ่อมแซมระบบส่งน้ำคลอง LMCกม.5+890.7+700อ่างเก็บน้ำน้ำแหง(กลาง)โครงการชลประทานน่าน อ.นาน้อย จ.น่าน</v>
      </c>
      <c r="C81" s="54" t="str">
        <f>[14]รายการสรุป!$I$7</f>
        <v>0700349052410451</v>
      </c>
      <c r="D81" s="57" t="s">
        <v>29</v>
      </c>
      <c r="E81" s="52">
        <f t="shared" si="199"/>
        <v>0</v>
      </c>
      <c r="F81" s="52">
        <v>0</v>
      </c>
      <c r="G81" s="53">
        <f>[15]รายการสรุป!$J$7</f>
        <v>0</v>
      </c>
      <c r="H81" s="52">
        <f t="shared" si="200"/>
        <v>0</v>
      </c>
      <c r="I81" s="52" t="e">
        <f t="shared" si="201"/>
        <v>#DIV/0!</v>
      </c>
      <c r="J81" s="52">
        <v>0</v>
      </c>
      <c r="K81" s="52"/>
      <c r="L81" s="52">
        <f t="shared" si="202"/>
        <v>0</v>
      </c>
      <c r="M81" s="52" t="e">
        <f t="shared" si="203"/>
        <v>#DIV/0!</v>
      </c>
      <c r="N81" s="52">
        <v>0</v>
      </c>
      <c r="O81" s="52">
        <v>0</v>
      </c>
      <c r="P81" s="52">
        <f t="shared" si="204"/>
        <v>0</v>
      </c>
      <c r="Q81" s="52" t="e">
        <f t="shared" si="205"/>
        <v>#DIV/0!</v>
      </c>
      <c r="R81" s="52">
        <f t="shared" si="206"/>
        <v>0</v>
      </c>
      <c r="S81" s="52">
        <f t="shared" si="207"/>
        <v>0</v>
      </c>
      <c r="T81" s="67" t="s">
        <v>58</v>
      </c>
    </row>
    <row r="82" spans="1:20" ht="33.75" customHeight="1" x14ac:dyDescent="0.5">
      <c r="A82" s="9">
        <v>67</v>
      </c>
      <c r="B82" s="11" t="str">
        <f>[14]รายการสรุป!$E$8</f>
        <v>ซ่อมแซมคลองส่งน้ำ LMCอ่างเก็บน้ำน้ำและกม.1+900ถึงกม2+000 โครงการชลประทานน่าน ต.และ อ.ทุ่งช้าง จ.น่าน</v>
      </c>
      <c r="C82" s="54" t="str">
        <f>[14]รายการสรุป!$I$8</f>
        <v>0700349052410452</v>
      </c>
      <c r="D82" s="57" t="s">
        <v>29</v>
      </c>
      <c r="E82" s="52">
        <f t="shared" si="199"/>
        <v>38000</v>
      </c>
      <c r="F82" s="52">
        <v>0</v>
      </c>
      <c r="G82" s="53">
        <f>[14]รายการสรุป!$J$8</f>
        <v>38000</v>
      </c>
      <c r="H82" s="52">
        <f t="shared" si="200"/>
        <v>37989.5</v>
      </c>
      <c r="I82" s="52">
        <f t="shared" si="201"/>
        <v>99.972368421052636</v>
      </c>
      <c r="J82" s="52">
        <v>0</v>
      </c>
      <c r="K82" s="52">
        <f>26186.1+3093+8710.4</f>
        <v>37989.5</v>
      </c>
      <c r="L82" s="52">
        <f t="shared" si="202"/>
        <v>0</v>
      </c>
      <c r="M82" s="52">
        <f t="shared" si="203"/>
        <v>0</v>
      </c>
      <c r="N82" s="52">
        <v>0</v>
      </c>
      <c r="O82" s="52">
        <v>0</v>
      </c>
      <c r="P82" s="52">
        <f t="shared" si="204"/>
        <v>10.5</v>
      </c>
      <c r="Q82" s="52">
        <f t="shared" si="205"/>
        <v>2.763157894736842E-2</v>
      </c>
      <c r="R82" s="52">
        <f t="shared" si="206"/>
        <v>0</v>
      </c>
      <c r="S82" s="52">
        <f t="shared" si="207"/>
        <v>10.5</v>
      </c>
    </row>
    <row r="83" spans="1:20" ht="33.75" customHeight="1" x14ac:dyDescent="0.5">
      <c r="A83" s="9">
        <v>68</v>
      </c>
      <c r="B83" s="11" t="str">
        <f>[14]รายการสรุป!$E$9</f>
        <v>ซ่อมแซมคลองส่งน้ำRMCฝายน้ำสอดโครงการชลประทานน่าน ต.และ อ.ทุ่งช้าง จ.น่าน</v>
      </c>
      <c r="C83" s="54" t="str">
        <f>[14]รายการสรุป!$I$9</f>
        <v>0700349052410453</v>
      </c>
      <c r="D83" s="57" t="s">
        <v>29</v>
      </c>
      <c r="E83" s="52">
        <f t="shared" si="199"/>
        <v>38000</v>
      </c>
      <c r="F83" s="52">
        <v>0</v>
      </c>
      <c r="G83" s="53">
        <f>[15]รายการสรุป!$J$9</f>
        <v>38000</v>
      </c>
      <c r="H83" s="52">
        <f t="shared" si="200"/>
        <v>25952.5</v>
      </c>
      <c r="I83" s="52">
        <f t="shared" si="201"/>
        <v>68.296052631578945</v>
      </c>
      <c r="J83" s="52">
        <v>0</v>
      </c>
      <c r="K83" s="52">
        <f>18812.5+7140</f>
        <v>25952.5</v>
      </c>
      <c r="L83" s="52">
        <f t="shared" si="202"/>
        <v>0</v>
      </c>
      <c r="M83" s="52">
        <f t="shared" si="203"/>
        <v>0</v>
      </c>
      <c r="N83" s="52">
        <v>0</v>
      </c>
      <c r="O83" s="52">
        <v>0</v>
      </c>
      <c r="P83" s="52">
        <f t="shared" si="204"/>
        <v>12047.5</v>
      </c>
      <c r="Q83" s="52">
        <f t="shared" si="205"/>
        <v>31.703947368421051</v>
      </c>
      <c r="R83" s="52">
        <f t="shared" si="206"/>
        <v>0</v>
      </c>
      <c r="S83" s="52">
        <f t="shared" si="207"/>
        <v>12047.5</v>
      </c>
    </row>
    <row r="84" spans="1:20" ht="46.5" customHeight="1" x14ac:dyDescent="0.5">
      <c r="A84" s="9">
        <v>69</v>
      </c>
      <c r="B84" s="11" t="str">
        <f>[14]รายการสรุป!$E$10</f>
        <v>ซ่อมแซมอาคารปลายคลอง 3R-LMC อ่างเก็บน้ำน้ำแหง(กลาง พรด.)โครงการชลประทานน่าน ต.นาน้อย อ.นาน้อย จ.น่าน</v>
      </c>
      <c r="C84" s="54" t="str">
        <f>[14]รายการสรุป!$I$10</f>
        <v>0700349052410455</v>
      </c>
      <c r="D84" s="57" t="s">
        <v>45</v>
      </c>
      <c r="E84" s="52">
        <f t="shared" ref="E84" si="208">F84+G84</f>
        <v>44000</v>
      </c>
      <c r="F84" s="52">
        <v>0</v>
      </c>
      <c r="G84" s="53">
        <f>[14]รายการสรุป!$J$10</f>
        <v>44000</v>
      </c>
      <c r="H84" s="52">
        <f t="shared" ref="H84" si="209">J84+K84</f>
        <v>43320.1</v>
      </c>
      <c r="I84" s="52">
        <f t="shared" ref="I84" si="210">H84*100/E84</f>
        <v>98.454772727272726</v>
      </c>
      <c r="J84" s="52">
        <v>0</v>
      </c>
      <c r="K84" s="52">
        <f>26186.1+17134</f>
        <v>43320.1</v>
      </c>
      <c r="L84" s="52">
        <f t="shared" ref="L84" si="211">N84+O84</f>
        <v>0</v>
      </c>
      <c r="M84" s="52">
        <f t="shared" ref="M84" si="212">L84*100/E84</f>
        <v>0</v>
      </c>
      <c r="N84" s="52">
        <v>0</v>
      </c>
      <c r="O84" s="52">
        <v>0</v>
      </c>
      <c r="P84" s="52">
        <f t="shared" ref="P84" si="213">R84+S84</f>
        <v>679.90000000000146</v>
      </c>
      <c r="Q84" s="52">
        <f t="shared" ref="Q84" si="214">P84*100/E84</f>
        <v>1.545227272727276</v>
      </c>
      <c r="R84" s="52">
        <f t="shared" ref="R84" si="215">F84-J84-N84</f>
        <v>0</v>
      </c>
      <c r="S84" s="52">
        <f t="shared" ref="S84" si="216">G84-K84-O84</f>
        <v>679.90000000000146</v>
      </c>
    </row>
    <row r="85" spans="1:20" ht="33" customHeight="1" x14ac:dyDescent="0.5">
      <c r="A85" s="9">
        <v>70</v>
      </c>
      <c r="B85" s="11" t="str">
        <f>[15]รายการสรุป!$E$11</f>
        <v>ซ่อมแซมอาคารป้องกันตลิ่งท้ายอ่างเก็บน้ำน้ำพง ต.พงษ์ อ.สันติสุข จ.น่าน</v>
      </c>
      <c r="C85" s="54" t="str">
        <f>[15]รายการสรุป!$I$11</f>
        <v>0700349052410ZA2</v>
      </c>
      <c r="D85" s="57" t="s">
        <v>52</v>
      </c>
      <c r="E85" s="52">
        <f t="shared" ref="E85" si="217">F85+G85</f>
        <v>300000</v>
      </c>
      <c r="F85" s="52">
        <v>0</v>
      </c>
      <c r="G85" s="53">
        <f>[15]รายการสรุป!$J$11</f>
        <v>300000</v>
      </c>
      <c r="H85" s="52">
        <f t="shared" ref="H85" si="218">J85+K85</f>
        <v>0</v>
      </c>
      <c r="I85" s="52">
        <f t="shared" ref="I85" si="219">H85*100/E85</f>
        <v>0</v>
      </c>
      <c r="J85" s="52">
        <v>0</v>
      </c>
      <c r="K85" s="52">
        <v>0</v>
      </c>
      <c r="L85" s="52">
        <f t="shared" ref="L85" si="220">N85+O85</f>
        <v>0</v>
      </c>
      <c r="M85" s="52">
        <f t="shared" ref="M85" si="221">L85*100/E85</f>
        <v>0</v>
      </c>
      <c r="N85" s="52">
        <v>0</v>
      </c>
      <c r="O85" s="52">
        <v>0</v>
      </c>
      <c r="P85" s="52">
        <f t="shared" ref="P85" si="222">R85+S85</f>
        <v>300000</v>
      </c>
      <c r="Q85" s="52">
        <f t="shared" ref="Q85" si="223">P85*100/E85</f>
        <v>100</v>
      </c>
      <c r="R85" s="52">
        <f t="shared" ref="R85" si="224">F85-J85-N85</f>
        <v>0</v>
      </c>
      <c r="S85" s="52">
        <f t="shared" ref="S85" si="225">G85-K85-O85</f>
        <v>300000</v>
      </c>
    </row>
    <row r="86" spans="1:20" ht="33" customHeight="1" x14ac:dyDescent="0.5">
      <c r="A86" s="9">
        <v>71</v>
      </c>
      <c r="B86" s="11" t="str">
        <f>[15]รายการสรุป!$E$12</f>
        <v>ซ่อมแซมระบบส่งน้ำฝายนาบง(พมพ.)โครงการชลประทานน่าน ต.บ่อเกลือใต้ อ.บ่อเกลือ จ.น่าน</v>
      </c>
      <c r="C86" s="54" t="str">
        <f>[15]รายการสรุป!$I$12</f>
        <v>0700349052410449</v>
      </c>
      <c r="D86" s="57" t="s">
        <v>60</v>
      </c>
      <c r="E86" s="52">
        <f t="shared" ref="E86" si="226">F86+G86</f>
        <v>40000</v>
      </c>
      <c r="F86" s="52">
        <v>0</v>
      </c>
      <c r="G86" s="53">
        <f>[15]รายการสรุป!$J$12</f>
        <v>40000</v>
      </c>
      <c r="H86" s="52">
        <f t="shared" ref="H86" si="227">J86+K86</f>
        <v>11861.38</v>
      </c>
      <c r="I86" s="52">
        <f t="shared" ref="I86" si="228">H86*100/E86</f>
        <v>29.653449999999999</v>
      </c>
      <c r="J86" s="52">
        <v>0</v>
      </c>
      <c r="K86" s="52">
        <f>11861.38</f>
        <v>11861.38</v>
      </c>
      <c r="L86" s="52">
        <f t="shared" ref="L86" si="229">N86+O86</f>
        <v>0</v>
      </c>
      <c r="M86" s="52">
        <f t="shared" ref="M86" si="230">L86*100/E86</f>
        <v>0</v>
      </c>
      <c r="N86" s="52">
        <v>0</v>
      </c>
      <c r="O86" s="52">
        <v>0</v>
      </c>
      <c r="P86" s="52">
        <f t="shared" ref="P86" si="231">R86+S86</f>
        <v>28138.620000000003</v>
      </c>
      <c r="Q86" s="52">
        <f t="shared" ref="Q86" si="232">P86*100/E86</f>
        <v>70.346550000000008</v>
      </c>
      <c r="R86" s="52">
        <f t="shared" ref="R86" si="233">F86-J86-N86</f>
        <v>0</v>
      </c>
      <c r="S86" s="52">
        <f t="shared" ref="S86" si="234">G86-K86-O86</f>
        <v>28138.620000000003</v>
      </c>
    </row>
    <row r="87" spans="1:20" ht="33" customHeight="1" x14ac:dyDescent="0.5">
      <c r="A87" s="9">
        <v>72</v>
      </c>
      <c r="B87" s="11" t="str">
        <f>[15]รายการสรุป!$E$13</f>
        <v>ซ่อมแซมระบบส่งน้ำฝายลูกที่ 4อ่างเก็บน้ำน้ำเกี๋ยน โครงการชลประทานน่าน ต.น้ำเกี๋ยน อ.ภูเพียง จ.น่าน</v>
      </c>
      <c r="C87" s="54" t="str">
        <f>[15]รายการสรุป!$I$13</f>
        <v>0700349052410454</v>
      </c>
      <c r="D87" s="57" t="s">
        <v>60</v>
      </c>
      <c r="E87" s="52">
        <f t="shared" ref="E87" si="235">F87+G87</f>
        <v>41300</v>
      </c>
      <c r="F87" s="52">
        <v>0</v>
      </c>
      <c r="G87" s="53">
        <f>[15]รายการสรุป!$J$13</f>
        <v>41300</v>
      </c>
      <c r="H87" s="52">
        <f t="shared" ref="H87" si="236">J87+K87</f>
        <v>0</v>
      </c>
      <c r="I87" s="52">
        <f t="shared" ref="I87" si="237">H87*100/E87</f>
        <v>0</v>
      </c>
      <c r="J87" s="52">
        <v>0</v>
      </c>
      <c r="K87" s="52">
        <v>0</v>
      </c>
      <c r="L87" s="52">
        <f t="shared" ref="L87" si="238">N87+O87</f>
        <v>0</v>
      </c>
      <c r="M87" s="52">
        <f t="shared" ref="M87" si="239">L87*100/E87</f>
        <v>0</v>
      </c>
      <c r="N87" s="52">
        <v>0</v>
      </c>
      <c r="O87" s="52">
        <v>0</v>
      </c>
      <c r="P87" s="52">
        <f t="shared" ref="P87" si="240">R87+S87</f>
        <v>41300</v>
      </c>
      <c r="Q87" s="52">
        <f t="shared" ref="Q87" si="241">P87*100/E87</f>
        <v>100</v>
      </c>
      <c r="R87" s="52">
        <f t="shared" ref="R87" si="242">F87-J87-N87</f>
        <v>0</v>
      </c>
      <c r="S87" s="52">
        <f t="shared" ref="S87" si="243">G87-K87-O87</f>
        <v>41300</v>
      </c>
    </row>
    <row r="88" spans="1:20" ht="33.75" customHeight="1" x14ac:dyDescent="0.5">
      <c r="A88" s="9"/>
      <c r="B88" s="18" t="s">
        <v>33</v>
      </c>
      <c r="C88" s="18"/>
      <c r="D88" s="24"/>
      <c r="E88" s="19">
        <f>F88+G88</f>
        <v>17500</v>
      </c>
      <c r="F88" s="19">
        <f>SUM(F89)</f>
        <v>0</v>
      </c>
      <c r="G88" s="19">
        <f>SUM(G89)</f>
        <v>17500</v>
      </c>
      <c r="H88" s="19">
        <f>J88+K88</f>
        <v>0</v>
      </c>
      <c r="I88" s="19">
        <f>H88*100/E88</f>
        <v>0</v>
      </c>
      <c r="J88" s="19">
        <f>SUM(J89)</f>
        <v>0</v>
      </c>
      <c r="K88" s="19">
        <f>SUM(K89)</f>
        <v>0</v>
      </c>
      <c r="L88" s="19">
        <f>N88+O88</f>
        <v>0</v>
      </c>
      <c r="M88" s="19">
        <f>L88*100/E88</f>
        <v>0</v>
      </c>
      <c r="N88" s="19">
        <f>SUM(N89)</f>
        <v>0</v>
      </c>
      <c r="O88" s="19">
        <f>SUM(O89)</f>
        <v>0</v>
      </c>
      <c r="P88" s="19">
        <f t="shared" si="204"/>
        <v>17500</v>
      </c>
      <c r="Q88" s="19">
        <f>P88*100/E88</f>
        <v>100</v>
      </c>
      <c r="R88" s="19">
        <f t="shared" si="206"/>
        <v>0</v>
      </c>
      <c r="S88" s="19">
        <f t="shared" si="207"/>
        <v>17500</v>
      </c>
    </row>
    <row r="89" spans="1:20" ht="48" customHeight="1" x14ac:dyDescent="0.5">
      <c r="A89" s="9">
        <v>73</v>
      </c>
      <c r="B89" s="11" t="str">
        <f>[16]รายการสรุป!$E$5</f>
        <v>ซ่อมแซมบายระบายอาคารอัดน้ำกลางคลองสายใหญ่ฝั่งซ้ายโครงการส่งน้ำและบำรุงรักษาแม่ลาว ต.ดงมะดะ อ.แม่ลาว จ.เชียงราย</v>
      </c>
      <c r="C89" s="54" t="str">
        <f>[16]รายการสรุป!$I$5</f>
        <v>0700349052410364</v>
      </c>
      <c r="D89" s="57" t="s">
        <v>29</v>
      </c>
      <c r="E89" s="52">
        <f t="shared" ref="E89" si="244">F89+G89</f>
        <v>17500</v>
      </c>
      <c r="F89" s="52">
        <v>0</v>
      </c>
      <c r="G89" s="53">
        <f>[16]รายการสรุป!$J$5</f>
        <v>17500</v>
      </c>
      <c r="H89" s="52">
        <f t="shared" ref="H89" si="245">J89+K89</f>
        <v>0</v>
      </c>
      <c r="I89" s="52">
        <f t="shared" ref="I89" si="246">H89*100/E89</f>
        <v>0</v>
      </c>
      <c r="J89" s="52">
        <v>0</v>
      </c>
      <c r="K89" s="52"/>
      <c r="L89" s="52">
        <f t="shared" ref="L89" si="247">N89+O89</f>
        <v>0</v>
      </c>
      <c r="M89" s="52">
        <f t="shared" ref="M89" si="248">L89*100/E89</f>
        <v>0</v>
      </c>
      <c r="N89" s="52">
        <v>0</v>
      </c>
      <c r="O89" s="52">
        <v>0</v>
      </c>
      <c r="P89" s="52">
        <f t="shared" ref="P89" si="249">R89+S89</f>
        <v>17500</v>
      </c>
      <c r="Q89" s="52">
        <f t="shared" ref="Q89" si="250">P89*100/E89</f>
        <v>100</v>
      </c>
      <c r="R89" s="52">
        <f t="shared" ref="R89" si="251">F89-J89-N89</f>
        <v>0</v>
      </c>
      <c r="S89" s="52">
        <f t="shared" ref="S89" si="252">G89-K89-O89</f>
        <v>17500</v>
      </c>
    </row>
    <row r="90" spans="1:20" ht="34.5" customHeight="1" x14ac:dyDescent="0.5">
      <c r="A90" s="9"/>
      <c r="B90" s="18" t="s">
        <v>30</v>
      </c>
      <c r="C90" s="18"/>
      <c r="D90" s="24"/>
      <c r="E90" s="19">
        <f>F90+G90</f>
        <v>4369700</v>
      </c>
      <c r="F90" s="19">
        <f>SUM(F91:F105)</f>
        <v>0</v>
      </c>
      <c r="G90" s="19">
        <f>SUM(G91:G106)</f>
        <v>4369700</v>
      </c>
      <c r="H90" s="19">
        <f>J90+K90</f>
        <v>825923.79999999993</v>
      </c>
      <c r="I90" s="19">
        <f>H90*100/E90</f>
        <v>18.901155685745017</v>
      </c>
      <c r="J90" s="19">
        <f>SUM(J91:J105)</f>
        <v>0</v>
      </c>
      <c r="K90" s="19">
        <f>SUM(K91:K106)</f>
        <v>825923.79999999993</v>
      </c>
      <c r="L90" s="19">
        <f>N90+O90</f>
        <v>0</v>
      </c>
      <c r="M90" s="19">
        <f>L90*100/E90</f>
        <v>0</v>
      </c>
      <c r="N90" s="19">
        <f>SUM(N91:N106)</f>
        <v>0</v>
      </c>
      <c r="O90" s="19">
        <f>SUM(O91:O106)</f>
        <v>0</v>
      </c>
      <c r="P90" s="19">
        <f t="shared" si="204"/>
        <v>3543776.2</v>
      </c>
      <c r="Q90" s="19">
        <f>P90*100/E90</f>
        <v>81.09884431425499</v>
      </c>
      <c r="R90" s="19">
        <f t="shared" si="206"/>
        <v>0</v>
      </c>
      <c r="S90" s="19">
        <f t="shared" si="207"/>
        <v>3543776.2</v>
      </c>
    </row>
    <row r="91" spans="1:20" ht="31.5" customHeight="1" x14ac:dyDescent="0.5">
      <c r="A91" s="9">
        <v>74</v>
      </c>
      <c r="B91" s="11" t="str">
        <f>[17]รายการสรุป!$E$5</f>
        <v>ปรับปรุงคลองซอย36.7L-RMCกิ่วลม ต.บ้านเป้า อ.เมือง จ.ลำปาง</v>
      </c>
      <c r="C91" s="54" t="str">
        <f>[17]รายการสรุป!$I$5</f>
        <v>0700349052420162</v>
      </c>
      <c r="D91" s="57" t="s">
        <v>29</v>
      </c>
      <c r="E91" s="52">
        <f t="shared" ref="E91" si="253">F91+G91</f>
        <v>530000</v>
      </c>
      <c r="F91" s="52">
        <v>0</v>
      </c>
      <c r="G91" s="53">
        <f>[17]รายการสรุป!$J$5</f>
        <v>530000</v>
      </c>
      <c r="H91" s="52">
        <f t="shared" ref="H91" si="254">J91+K91</f>
        <v>141512.4</v>
      </c>
      <c r="I91" s="52">
        <f t="shared" ref="I91" si="255">H91*100/E91</f>
        <v>26.700452830188681</v>
      </c>
      <c r="J91" s="52">
        <v>0</v>
      </c>
      <c r="K91" s="52">
        <f>4715+7380+2320+2870+9556+7570+9951+80937.4+10878+5335</f>
        <v>141512.4</v>
      </c>
      <c r="L91" s="52">
        <f t="shared" ref="L91" si="256">N91+O91</f>
        <v>0</v>
      </c>
      <c r="M91" s="52">
        <f t="shared" ref="M91" si="257">L91*100/E91</f>
        <v>0</v>
      </c>
      <c r="N91" s="52">
        <v>0</v>
      </c>
      <c r="O91" s="52">
        <v>0</v>
      </c>
      <c r="P91" s="52">
        <f t="shared" ref="P91" si="258">R91+S91</f>
        <v>388487.6</v>
      </c>
      <c r="Q91" s="52">
        <f t="shared" ref="Q91" si="259">P91*100/E91</f>
        <v>73.299547169811319</v>
      </c>
      <c r="R91" s="52">
        <f t="shared" ref="R91" si="260">F91-J91-N91</f>
        <v>0</v>
      </c>
      <c r="S91" s="52">
        <f t="shared" ref="S91" si="261">G91-K91-O91</f>
        <v>388487.6</v>
      </c>
    </row>
    <row r="92" spans="1:20" ht="31.5" customHeight="1" x14ac:dyDescent="0.5">
      <c r="A92" s="9">
        <v>75</v>
      </c>
      <c r="B92" s="11" t="str">
        <f>[17]รายการสรุป!$E$6</f>
        <v>ปรับปรุงคลองซอย35.7L-RMCกิ่วลม ต.บ้านเป้า อ.เมือง จ.ลำปาง</v>
      </c>
      <c r="C92" s="54" t="str">
        <f>[17]รายการสรุป!$I$6</f>
        <v>0700349052420163</v>
      </c>
      <c r="D92" s="57" t="s">
        <v>29</v>
      </c>
      <c r="E92" s="52">
        <f t="shared" ref="E92" si="262">F92+G92</f>
        <v>550000</v>
      </c>
      <c r="F92" s="52">
        <v>0</v>
      </c>
      <c r="G92" s="53">
        <f>[17]รายการสรุป!$J$6</f>
        <v>550000</v>
      </c>
      <c r="H92" s="52">
        <f t="shared" ref="H92" si="263">J92+K92</f>
        <v>169176.3</v>
      </c>
      <c r="I92" s="52">
        <f t="shared" ref="I92" si="264">H92*100/E92</f>
        <v>30.759327272727273</v>
      </c>
      <c r="J92" s="52">
        <v>0</v>
      </c>
      <c r="K92" s="52">
        <f>50602+22531+8621+40323+23805+5950.75+17343.55</f>
        <v>169176.3</v>
      </c>
      <c r="L92" s="52">
        <f t="shared" ref="L92" si="265">N92+O92</f>
        <v>0</v>
      </c>
      <c r="M92" s="52">
        <f t="shared" ref="M92" si="266">L92*100/E92</f>
        <v>0</v>
      </c>
      <c r="N92" s="52">
        <v>0</v>
      </c>
      <c r="O92" s="52">
        <v>0</v>
      </c>
      <c r="P92" s="52">
        <f t="shared" ref="P92:P120" si="267">R92+S92</f>
        <v>380823.7</v>
      </c>
      <c r="Q92" s="52">
        <f t="shared" ref="Q92" si="268">P92*100/E92</f>
        <v>69.240672727272724</v>
      </c>
      <c r="R92" s="52">
        <f t="shared" ref="R92:R120" si="269">F92-J92-N92</f>
        <v>0</v>
      </c>
      <c r="S92" s="52">
        <f t="shared" ref="S92:S120" si="270">G92-K92-O92</f>
        <v>380823.7</v>
      </c>
    </row>
    <row r="93" spans="1:20" ht="31.5" customHeight="1" x14ac:dyDescent="0.5">
      <c r="A93" s="9">
        <v>76</v>
      </c>
      <c r="B93" s="11" t="str">
        <f>[17]รายการสรุป!$E$7</f>
        <v>ปรับปรุงลาดตลิ่งคลองส่งน้ำสายใหญ่แม่วังฝั่งขวาโครงการส่งน้ำและบำรุงรักษาแม่วัง ต.บ่อแฮ้ว อ.เมือง จ.ลำปาง</v>
      </c>
      <c r="C93" s="54" t="str">
        <f>[17]รายการสรุป!$I$7</f>
        <v>0700349052420031</v>
      </c>
      <c r="D93" s="57" t="s">
        <v>45</v>
      </c>
      <c r="E93" s="52">
        <f t="shared" ref="E93" si="271">F93+G93</f>
        <v>418700</v>
      </c>
      <c r="F93" s="52">
        <v>0</v>
      </c>
      <c r="G93" s="53">
        <f>[17]รายการสรุป!$J$7</f>
        <v>418700</v>
      </c>
      <c r="H93" s="52">
        <f t="shared" ref="H93" si="272">J93+K93</f>
        <v>209488.8</v>
      </c>
      <c r="I93" s="52">
        <f t="shared" ref="I93" si="273">H93*100/E93</f>
        <v>50.033150226892765</v>
      </c>
      <c r="J93" s="52">
        <v>0</v>
      </c>
      <c r="K93" s="52">
        <f>99982.2+109506.6</f>
        <v>209488.8</v>
      </c>
      <c r="L93" s="52">
        <f t="shared" ref="L93" si="274">N93+O93</f>
        <v>0</v>
      </c>
      <c r="M93" s="52">
        <f t="shared" ref="M93" si="275">L93*100/E93</f>
        <v>0</v>
      </c>
      <c r="N93" s="52">
        <v>0</v>
      </c>
      <c r="O93" s="52">
        <v>0</v>
      </c>
      <c r="P93" s="52">
        <f t="shared" ref="P93" si="276">R93+S93</f>
        <v>209211.2</v>
      </c>
      <c r="Q93" s="52">
        <f t="shared" ref="Q93" si="277">P93*100/E93</f>
        <v>49.966849773107235</v>
      </c>
      <c r="R93" s="52">
        <f t="shared" ref="R93" si="278">F93-J93-N93</f>
        <v>0</v>
      </c>
      <c r="S93" s="52">
        <f t="shared" ref="S93" si="279">G93-K93-O93</f>
        <v>209211.2</v>
      </c>
    </row>
    <row r="94" spans="1:20" ht="31.5" customHeight="1" x14ac:dyDescent="0.5">
      <c r="A94" s="9">
        <v>77</v>
      </c>
      <c r="B94" s="11" t="str">
        <f>[17]รายการสรุป!$E$8</f>
        <v>ปรับปรุงฝายแม่ไพรลูกที่ 5 พร้อมอาคารประกอบ ต.หนองหล่ม อ.ห้างฉัตร จ.ลำปาง</v>
      </c>
      <c r="C94" s="54" t="str">
        <f>[17]รายการสรุป!$I$8</f>
        <v>0700349052420032</v>
      </c>
      <c r="D94" s="57" t="s">
        <v>45</v>
      </c>
      <c r="E94" s="52">
        <f t="shared" ref="E94:E95" si="280">F94+G94</f>
        <v>479000</v>
      </c>
      <c r="F94" s="52">
        <v>0</v>
      </c>
      <c r="G94" s="53">
        <f>[17]รายการสรุป!$J$8</f>
        <v>479000</v>
      </c>
      <c r="H94" s="52">
        <f t="shared" ref="H94:H95" si="281">J94+K94</f>
        <v>21850</v>
      </c>
      <c r="I94" s="52">
        <f t="shared" ref="I94:I95" si="282">H94*100/E94</f>
        <v>4.5615866388308977</v>
      </c>
      <c r="J94" s="52">
        <v>0</v>
      </c>
      <c r="K94" s="52">
        <f>21850</f>
        <v>21850</v>
      </c>
      <c r="L94" s="52">
        <f t="shared" ref="L94:L95" si="283">N94+O94</f>
        <v>0</v>
      </c>
      <c r="M94" s="52">
        <f t="shared" ref="M94:M95" si="284">L94*100/E94</f>
        <v>0</v>
      </c>
      <c r="N94" s="52">
        <v>0</v>
      </c>
      <c r="O94" s="52">
        <v>0</v>
      </c>
      <c r="P94" s="52">
        <f t="shared" ref="P94:P95" si="285">R94+S94</f>
        <v>457150</v>
      </c>
      <c r="Q94" s="52">
        <f t="shared" ref="Q94:Q95" si="286">P94*100/E94</f>
        <v>95.438413361169097</v>
      </c>
      <c r="R94" s="52">
        <f t="shared" ref="R94:R95" si="287">F94-J94-N94</f>
        <v>0</v>
      </c>
      <c r="S94" s="52">
        <f t="shared" ref="S94:S95" si="288">G94-K94-O94</f>
        <v>457150</v>
      </c>
    </row>
    <row r="95" spans="1:20" ht="31.5" customHeight="1" x14ac:dyDescent="0.5">
      <c r="A95" s="9">
        <v>78</v>
      </c>
      <c r="B95" s="11" t="str">
        <f>[17]รายการสรุป!$E$9</f>
        <v>ปรับปรุงระบบส่งน้ำอ่างเก็บน้ำแม่งอนอันเนื่องมาจากพระราชดำริระยะ 4(สิ้นสุดโครงการ) ต.บ้านแหง อ.งาว จ.ลำปาง</v>
      </c>
      <c r="C95" s="54" t="str">
        <f>[17]รายการสรุป!$I$9</f>
        <v>0700349052420036</v>
      </c>
      <c r="D95" s="57" t="s">
        <v>45</v>
      </c>
      <c r="E95" s="52">
        <f t="shared" si="280"/>
        <v>300000</v>
      </c>
      <c r="F95" s="52">
        <v>0</v>
      </c>
      <c r="G95" s="53">
        <f>[17]รายการสรุป!$J$9</f>
        <v>300000</v>
      </c>
      <c r="H95" s="52">
        <f t="shared" si="281"/>
        <v>0</v>
      </c>
      <c r="I95" s="52">
        <f t="shared" si="282"/>
        <v>0</v>
      </c>
      <c r="J95" s="52">
        <v>0</v>
      </c>
      <c r="K95" s="52"/>
      <c r="L95" s="52">
        <f t="shared" si="283"/>
        <v>0</v>
      </c>
      <c r="M95" s="52">
        <f t="shared" si="284"/>
        <v>0</v>
      </c>
      <c r="N95" s="52">
        <v>0</v>
      </c>
      <c r="O95" s="52">
        <v>0</v>
      </c>
      <c r="P95" s="52">
        <f t="shared" si="285"/>
        <v>300000</v>
      </c>
      <c r="Q95" s="52">
        <f t="shared" si="286"/>
        <v>100</v>
      </c>
      <c r="R95" s="52">
        <f t="shared" si="287"/>
        <v>0</v>
      </c>
      <c r="S95" s="52">
        <f t="shared" si="288"/>
        <v>300000</v>
      </c>
    </row>
    <row r="96" spans="1:20" ht="31.5" customHeight="1" x14ac:dyDescent="0.5">
      <c r="A96" s="9">
        <v>79</v>
      </c>
      <c r="B96" s="11" t="str">
        <f>[18]รายการสรุป!$E$10</f>
        <v>ปรับปรุงระบบส่งน้ำสนับสนุนแปลงทฤษฎีใหม่พื้นที่ฝ่ายส่งน้ำและบำรุงรักษาที่ 2 อ.เมือง จ.ลำปาง</v>
      </c>
      <c r="C96" s="54" t="str">
        <f>[18]รายการสรุป!$I$10</f>
        <v>0700349052410181</v>
      </c>
      <c r="D96" s="57" t="s">
        <v>29</v>
      </c>
      <c r="E96" s="52">
        <f t="shared" ref="E96" si="289">F96+G96</f>
        <v>250000</v>
      </c>
      <c r="F96" s="52">
        <v>0</v>
      </c>
      <c r="G96" s="53">
        <f>[18]รายการสรุป!$J$10</f>
        <v>250000</v>
      </c>
      <c r="H96" s="52">
        <f t="shared" ref="H96" si="290">J96+K96</f>
        <v>0</v>
      </c>
      <c r="I96" s="52">
        <f t="shared" ref="I96" si="291">H96*100/E96</f>
        <v>0</v>
      </c>
      <c r="J96" s="52">
        <v>0</v>
      </c>
      <c r="K96" s="52"/>
      <c r="L96" s="52">
        <f t="shared" ref="L96" si="292">N96+O96</f>
        <v>0</v>
      </c>
      <c r="M96" s="52">
        <f t="shared" ref="M96" si="293">L96*100/E96</f>
        <v>0</v>
      </c>
      <c r="N96" s="52">
        <v>0</v>
      </c>
      <c r="O96" s="52">
        <v>0</v>
      </c>
      <c r="P96" s="52">
        <f t="shared" ref="P96" si="294">R96+S96</f>
        <v>250000</v>
      </c>
      <c r="Q96" s="52">
        <f t="shared" ref="Q96" si="295">P96*100/E96</f>
        <v>100</v>
      </c>
      <c r="R96" s="52">
        <f t="shared" ref="R96" si="296">F96-J96-N96</f>
        <v>0</v>
      </c>
      <c r="S96" s="52">
        <f t="shared" ref="S96" si="297">G96-K96-O96</f>
        <v>250000</v>
      </c>
    </row>
    <row r="97" spans="1:19" ht="31.5" customHeight="1" x14ac:dyDescent="0.5">
      <c r="A97" s="9">
        <v>80</v>
      </c>
      <c r="B97" s="11" t="str">
        <f>[18]รายการสรุป!$E$11</f>
        <v>ปรับปรุงคลองซอย8+034RMCกิ่วลม อ.เมือง จ.ลำปาง</v>
      </c>
      <c r="C97" s="54" t="str">
        <f>[18]รายการสรุป!$I$11</f>
        <v>0700349052410183</v>
      </c>
      <c r="D97" s="57" t="s">
        <v>29</v>
      </c>
      <c r="E97" s="52">
        <f t="shared" ref="E97:E100" si="298">F97+G97</f>
        <v>113000</v>
      </c>
      <c r="F97" s="52">
        <v>0</v>
      </c>
      <c r="G97" s="53">
        <f>[18]รายการสรุป!$J$11</f>
        <v>113000</v>
      </c>
      <c r="H97" s="52">
        <f t="shared" ref="H97:H100" si="299">J97+K97</f>
        <v>51975.35</v>
      </c>
      <c r="I97" s="52">
        <f t="shared" ref="I97:I100" si="300">H97*100/E97</f>
        <v>45.99588495575221</v>
      </c>
      <c r="J97" s="52">
        <v>0</v>
      </c>
      <c r="K97" s="52">
        <f>24995.55+26979.8</f>
        <v>51975.35</v>
      </c>
      <c r="L97" s="52">
        <f t="shared" ref="L97:L100" si="301">N97+O97</f>
        <v>0</v>
      </c>
      <c r="M97" s="52">
        <f t="shared" ref="M97:M100" si="302">L97*100/E97</f>
        <v>0</v>
      </c>
      <c r="N97" s="52">
        <v>0</v>
      </c>
      <c r="O97" s="52">
        <v>0</v>
      </c>
      <c r="P97" s="52">
        <f t="shared" ref="P97:P100" si="303">R97+S97</f>
        <v>61024.65</v>
      </c>
      <c r="Q97" s="52">
        <f t="shared" ref="Q97:Q100" si="304">P97*100/E97</f>
        <v>54.00411504424779</v>
      </c>
      <c r="R97" s="52">
        <f t="shared" ref="R97:R100" si="305">F97-J97-N97</f>
        <v>0</v>
      </c>
      <c r="S97" s="52">
        <f t="shared" ref="S97:S100" si="306">G97-K97-O97</f>
        <v>61024.65</v>
      </c>
    </row>
    <row r="98" spans="1:19" ht="31.5" customHeight="1" x14ac:dyDescent="0.5">
      <c r="A98" s="9">
        <v>81</v>
      </c>
      <c r="B98" s="11" t="str">
        <f>[18]รายการสรุป!$E$12</f>
        <v>ปรับปรุงคลองซอย18.3L-RMCกิ่วลม  อ.เมือง จ.ลำปาง</v>
      </c>
      <c r="C98" s="54" t="str">
        <f>[18]รายการสรุป!$I$12</f>
        <v>0700349052410184</v>
      </c>
      <c r="D98" s="57" t="s">
        <v>29</v>
      </c>
      <c r="E98" s="52">
        <f t="shared" si="298"/>
        <v>182000</v>
      </c>
      <c r="F98" s="52">
        <v>0</v>
      </c>
      <c r="G98" s="53">
        <f>[18]รายการสรุป!$J$12</f>
        <v>182000</v>
      </c>
      <c r="H98" s="52">
        <f t="shared" si="299"/>
        <v>0</v>
      </c>
      <c r="I98" s="52">
        <f t="shared" si="300"/>
        <v>0</v>
      </c>
      <c r="J98" s="52">
        <v>0</v>
      </c>
      <c r="K98" s="52"/>
      <c r="L98" s="52">
        <f t="shared" si="301"/>
        <v>0</v>
      </c>
      <c r="M98" s="52">
        <f t="shared" si="302"/>
        <v>0</v>
      </c>
      <c r="N98" s="52">
        <v>0</v>
      </c>
      <c r="O98" s="52">
        <v>0</v>
      </c>
      <c r="P98" s="52">
        <f t="shared" si="303"/>
        <v>182000</v>
      </c>
      <c r="Q98" s="52">
        <f t="shared" si="304"/>
        <v>100</v>
      </c>
      <c r="R98" s="52">
        <f t="shared" si="305"/>
        <v>0</v>
      </c>
      <c r="S98" s="52">
        <f t="shared" si="306"/>
        <v>182000</v>
      </c>
    </row>
    <row r="99" spans="1:19" ht="31.5" customHeight="1" x14ac:dyDescent="0.5">
      <c r="A99" s="9">
        <v>82</v>
      </c>
      <c r="B99" s="11" t="str">
        <f>[18]รายการสรุป!$E$13</f>
        <v>ปรับปรุงคลองซอย กม5+838 RMCกิ่วลม อ.เมือง จ.ลำปาง</v>
      </c>
      <c r="C99" s="54" t="str">
        <f>[18]รายการสรุป!$I$13</f>
        <v>0700349052410185</v>
      </c>
      <c r="D99" s="57" t="s">
        <v>29</v>
      </c>
      <c r="E99" s="52">
        <f t="shared" si="298"/>
        <v>112000</v>
      </c>
      <c r="F99" s="52">
        <v>0</v>
      </c>
      <c r="G99" s="53">
        <f>[18]รายการสรุป!$J$13</f>
        <v>112000</v>
      </c>
      <c r="H99" s="52">
        <f t="shared" si="299"/>
        <v>16266.85</v>
      </c>
      <c r="I99" s="52">
        <f t="shared" si="300"/>
        <v>14.523973214285714</v>
      </c>
      <c r="J99" s="52">
        <v>0</v>
      </c>
      <c r="K99" s="52">
        <f>7935+8331.85</f>
        <v>16266.85</v>
      </c>
      <c r="L99" s="52">
        <f t="shared" si="301"/>
        <v>0</v>
      </c>
      <c r="M99" s="52">
        <f t="shared" si="302"/>
        <v>0</v>
      </c>
      <c r="N99" s="52">
        <v>0</v>
      </c>
      <c r="O99" s="52">
        <v>0</v>
      </c>
      <c r="P99" s="52">
        <f t="shared" si="303"/>
        <v>95733.15</v>
      </c>
      <c r="Q99" s="52">
        <f t="shared" si="304"/>
        <v>85.476026785714282</v>
      </c>
      <c r="R99" s="52">
        <f t="shared" si="305"/>
        <v>0</v>
      </c>
      <c r="S99" s="52">
        <f t="shared" si="306"/>
        <v>95733.15</v>
      </c>
    </row>
    <row r="100" spans="1:19" ht="45.75" customHeight="1" x14ac:dyDescent="0.5">
      <c r="A100" s="9">
        <v>83</v>
      </c>
      <c r="B100" s="11" t="str">
        <f>[18]รายการสรุป!$E$14</f>
        <v>ปรับปรุงระบายน้ำปลายคลอง คลองซอย 1.6L-RMCกิ่วลม11.2L-RMCกิ่วลมและคลองแยกซอย15.2L-RMCกิ่วลม อ.เมือง จ.ลำปาง</v>
      </c>
      <c r="C100" s="54" t="str">
        <f>[18]รายการสรุป!$I$14</f>
        <v>0700349052410186</v>
      </c>
      <c r="D100" s="57" t="s">
        <v>29</v>
      </c>
      <c r="E100" s="52">
        <f t="shared" si="298"/>
        <v>128000</v>
      </c>
      <c r="F100" s="52">
        <v>0</v>
      </c>
      <c r="G100" s="53">
        <f>[18]รายการสรุป!$J$14</f>
        <v>128000</v>
      </c>
      <c r="H100" s="52">
        <f t="shared" si="299"/>
        <v>52372.2</v>
      </c>
      <c r="I100" s="52">
        <f t="shared" si="300"/>
        <v>40.915781250000002</v>
      </c>
      <c r="J100" s="52">
        <v>0</v>
      </c>
      <c r="K100" s="52">
        <f>24995.55+27376.65</f>
        <v>52372.2</v>
      </c>
      <c r="L100" s="52">
        <f t="shared" si="301"/>
        <v>0</v>
      </c>
      <c r="M100" s="52">
        <f t="shared" si="302"/>
        <v>0</v>
      </c>
      <c r="N100" s="52">
        <v>0</v>
      </c>
      <c r="O100" s="52">
        <v>0</v>
      </c>
      <c r="P100" s="52">
        <f t="shared" si="303"/>
        <v>75627.8</v>
      </c>
      <c r="Q100" s="52">
        <f t="shared" si="304"/>
        <v>59.084218749999998</v>
      </c>
      <c r="R100" s="52">
        <f t="shared" si="305"/>
        <v>0</v>
      </c>
      <c r="S100" s="52">
        <f t="shared" si="306"/>
        <v>75627.8</v>
      </c>
    </row>
    <row r="101" spans="1:19" ht="28.5" customHeight="1" x14ac:dyDescent="0.5">
      <c r="A101" s="9">
        <v>84</v>
      </c>
      <c r="B101" s="11" t="str">
        <f>[18]รายการสรุป!$E$15</f>
        <v>ปรับปรุงท่อส่งน้ำสนับสนุนแปลงใหญ่ 9 แห่ง คลองซอย 12 RMCกิ่วลม ต.ลำปางหลวง อ.เกาะคา จ.ลำปาง</v>
      </c>
      <c r="C101" s="54" t="str">
        <f>[18]รายการสรุป!$I$15</f>
        <v>0700349052410180</v>
      </c>
      <c r="D101" s="57" t="s">
        <v>50</v>
      </c>
      <c r="E101" s="52">
        <f t="shared" ref="E101" si="307">F101+G101</f>
        <v>23000</v>
      </c>
      <c r="F101" s="52">
        <v>0</v>
      </c>
      <c r="G101" s="53">
        <f>[18]รายการสรุป!$J$15</f>
        <v>23000</v>
      </c>
      <c r="H101" s="52">
        <f t="shared" ref="H101" si="308">J101+K101</f>
        <v>0</v>
      </c>
      <c r="I101" s="52">
        <f t="shared" ref="I101" si="309">H101*100/E101</f>
        <v>0</v>
      </c>
      <c r="J101" s="52">
        <v>0</v>
      </c>
      <c r="K101" s="52"/>
      <c r="L101" s="52">
        <f t="shared" ref="L101" si="310">N101+O101</f>
        <v>0</v>
      </c>
      <c r="M101" s="52">
        <f t="shared" ref="M101" si="311">L101*100/E101</f>
        <v>0</v>
      </c>
      <c r="N101" s="52">
        <v>0</v>
      </c>
      <c r="O101" s="52">
        <v>0</v>
      </c>
      <c r="P101" s="52">
        <f t="shared" ref="P101" si="312">R101+S101</f>
        <v>23000</v>
      </c>
      <c r="Q101" s="52">
        <f t="shared" ref="Q101" si="313">P101*100/E101</f>
        <v>100</v>
      </c>
      <c r="R101" s="52">
        <f t="shared" ref="R101" si="314">F101-J101-N101</f>
        <v>0</v>
      </c>
      <c r="S101" s="52">
        <f t="shared" ref="S101" si="315">G101-K101-O101</f>
        <v>23000</v>
      </c>
    </row>
    <row r="102" spans="1:19" ht="25.5" customHeight="1" x14ac:dyDescent="0.5">
      <c r="A102" s="9">
        <v>85</v>
      </c>
      <c r="B102" s="11" t="str">
        <f>[18]รายการสรุป!$E$16</f>
        <v>ปรับปรุงอาคารอัดน้ำกลางคลอง RMC กิ่วคอมา จำนวน 2 แห่ง อ.แจ้ห่ม จ.ลำปาง</v>
      </c>
      <c r="C102" s="54" t="str">
        <f>[18]รายการสรุป!$I$16</f>
        <v>0700349052410182</v>
      </c>
      <c r="D102" s="57" t="s">
        <v>50</v>
      </c>
      <c r="E102" s="52">
        <f t="shared" ref="E102:E105" si="316">F102+G102</f>
        <v>280000</v>
      </c>
      <c r="F102" s="52">
        <v>0</v>
      </c>
      <c r="G102" s="53">
        <f>[18]รายการสรุป!$J$16</f>
        <v>280000</v>
      </c>
      <c r="H102" s="52">
        <f t="shared" ref="H102:H105" si="317">J102+K102</f>
        <v>0</v>
      </c>
      <c r="I102" s="52">
        <f t="shared" ref="I102:I105" si="318">H102*100/E102</f>
        <v>0</v>
      </c>
      <c r="J102" s="52">
        <v>0</v>
      </c>
      <c r="K102" s="52"/>
      <c r="L102" s="52">
        <f t="shared" ref="L102:L105" si="319">N102+O102</f>
        <v>0</v>
      </c>
      <c r="M102" s="52">
        <f t="shared" ref="M102:M105" si="320">L102*100/E102</f>
        <v>0</v>
      </c>
      <c r="N102" s="52">
        <v>0</v>
      </c>
      <c r="O102" s="52">
        <v>0</v>
      </c>
      <c r="P102" s="52">
        <f t="shared" ref="P102:P105" si="321">R102+S102</f>
        <v>280000</v>
      </c>
      <c r="Q102" s="52">
        <f t="shared" ref="Q102:Q105" si="322">P102*100/E102</f>
        <v>100</v>
      </c>
      <c r="R102" s="52">
        <f t="shared" ref="R102:R105" si="323">F102-J102-N102</f>
        <v>0</v>
      </c>
      <c r="S102" s="52">
        <f t="shared" ref="S102:S105" si="324">G102-K102-O102</f>
        <v>280000</v>
      </c>
    </row>
    <row r="103" spans="1:19" ht="24.75" customHeight="1" x14ac:dyDescent="0.5">
      <c r="A103" s="9">
        <v>86</v>
      </c>
      <c r="B103" s="11" t="str">
        <f>[18]รายการสรุป!$E$17</f>
        <v>ปรับปรุงคลองส่งน้ำสายซอย กม.8+000 คลองส่งน้ำสายใหญ่ฝั่งซ้ายท้ายเขื่อนกิ่วคอหมา ต.แจ้ห่ม อ.แจ้ห่ม จ.ลำปาง</v>
      </c>
      <c r="C103" s="54" t="str">
        <f>[18]รายการสรุป!$I$17</f>
        <v>0700349052410187</v>
      </c>
      <c r="D103" s="57" t="s">
        <v>50</v>
      </c>
      <c r="E103" s="52">
        <f t="shared" si="316"/>
        <v>187000</v>
      </c>
      <c r="F103" s="52">
        <v>0</v>
      </c>
      <c r="G103" s="53">
        <f>[18]รายการสรุป!$J$17</f>
        <v>187000</v>
      </c>
      <c r="H103" s="52">
        <f t="shared" si="317"/>
        <v>113290.79999999999</v>
      </c>
      <c r="I103" s="52">
        <f t="shared" si="318"/>
        <v>60.583315508021379</v>
      </c>
      <c r="J103" s="52">
        <v>0</v>
      </c>
      <c r="K103" s="52">
        <f>54070.2+59220.6</f>
        <v>113290.79999999999</v>
      </c>
      <c r="L103" s="52">
        <f t="shared" si="319"/>
        <v>0</v>
      </c>
      <c r="M103" s="52">
        <f t="shared" si="320"/>
        <v>0</v>
      </c>
      <c r="N103" s="52">
        <v>0</v>
      </c>
      <c r="O103" s="52">
        <v>0</v>
      </c>
      <c r="P103" s="52">
        <f t="shared" si="321"/>
        <v>73709.200000000012</v>
      </c>
      <c r="Q103" s="52">
        <f t="shared" si="322"/>
        <v>39.416684491978614</v>
      </c>
      <c r="R103" s="52">
        <f t="shared" si="323"/>
        <v>0</v>
      </c>
      <c r="S103" s="52">
        <f t="shared" si="324"/>
        <v>73709.200000000012</v>
      </c>
    </row>
    <row r="104" spans="1:19" ht="23.25" customHeight="1" x14ac:dyDescent="0.5">
      <c r="A104" s="9">
        <v>87</v>
      </c>
      <c r="B104" s="11" t="str">
        <f>[18]รายการสรุป!$E$18</f>
        <v>ปรับปรุงคูส่งน้ำ กม.10+800 คลองส่งน้ำสายใหญ่ฝั่งซ้ายท้ายเขื่อนกิ่วคอหมา ต.แจ้ห่ม อ.แจ้ห่ม จ.ลำปาง</v>
      </c>
      <c r="C104" s="54" t="str">
        <f>[18]รายการสรุป!$I$18</f>
        <v>0700349052410188</v>
      </c>
      <c r="D104" s="57" t="s">
        <v>50</v>
      </c>
      <c r="E104" s="52">
        <f t="shared" si="316"/>
        <v>23000</v>
      </c>
      <c r="F104" s="52">
        <v>0</v>
      </c>
      <c r="G104" s="53">
        <f>[18]รายการสรุป!$J$18</f>
        <v>23000</v>
      </c>
      <c r="H104" s="52">
        <f t="shared" si="317"/>
        <v>0</v>
      </c>
      <c r="I104" s="52">
        <f t="shared" si="318"/>
        <v>0</v>
      </c>
      <c r="J104" s="52">
        <v>0</v>
      </c>
      <c r="K104" s="52"/>
      <c r="L104" s="52">
        <f t="shared" si="319"/>
        <v>0</v>
      </c>
      <c r="M104" s="52">
        <f t="shared" si="320"/>
        <v>0</v>
      </c>
      <c r="N104" s="52">
        <v>0</v>
      </c>
      <c r="O104" s="52">
        <v>0</v>
      </c>
      <c r="P104" s="52">
        <f t="shared" si="321"/>
        <v>23000</v>
      </c>
      <c r="Q104" s="52">
        <f t="shared" si="322"/>
        <v>100</v>
      </c>
      <c r="R104" s="52">
        <f t="shared" si="323"/>
        <v>0</v>
      </c>
      <c r="S104" s="52">
        <f t="shared" si="324"/>
        <v>23000</v>
      </c>
    </row>
    <row r="105" spans="1:19" ht="29.25" customHeight="1" x14ac:dyDescent="0.5">
      <c r="A105" s="9">
        <v>88</v>
      </c>
      <c r="B105" s="11" t="str">
        <f>[18]รายการสรุป!$E$19</f>
        <v>ปรับปรุงคลองแยกซอย คลองซอย 3 RMC  กิ่วคอหมา ต.แจ้ห่ม อ.แจ้ห่ม จ.ลำปาง</v>
      </c>
      <c r="C105" s="54" t="str">
        <f>[18]รายการสรุป!$I$19</f>
        <v>0700349052410189</v>
      </c>
      <c r="D105" s="57" t="s">
        <v>50</v>
      </c>
      <c r="E105" s="52">
        <f t="shared" si="316"/>
        <v>210000</v>
      </c>
      <c r="F105" s="52">
        <v>0</v>
      </c>
      <c r="G105" s="53">
        <f>[18]รายการสรุป!$J$19</f>
        <v>210000</v>
      </c>
      <c r="H105" s="52">
        <f t="shared" si="317"/>
        <v>49991.1</v>
      </c>
      <c r="I105" s="52">
        <f t="shared" si="318"/>
        <v>23.805285714285713</v>
      </c>
      <c r="J105" s="52">
        <v>0</v>
      </c>
      <c r="K105" s="52">
        <f>49991.1</f>
        <v>49991.1</v>
      </c>
      <c r="L105" s="52">
        <f t="shared" si="319"/>
        <v>0</v>
      </c>
      <c r="M105" s="52">
        <f t="shared" si="320"/>
        <v>0</v>
      </c>
      <c r="N105" s="52">
        <v>0</v>
      </c>
      <c r="O105" s="52">
        <v>0</v>
      </c>
      <c r="P105" s="52">
        <f t="shared" si="321"/>
        <v>160008.9</v>
      </c>
      <c r="Q105" s="52">
        <f t="shared" si="322"/>
        <v>76.194714285714284</v>
      </c>
      <c r="R105" s="52">
        <f t="shared" si="323"/>
        <v>0</v>
      </c>
      <c r="S105" s="52">
        <f t="shared" si="324"/>
        <v>160008.9</v>
      </c>
    </row>
    <row r="106" spans="1:19" ht="29.25" customHeight="1" x14ac:dyDescent="0.5">
      <c r="A106" s="9">
        <v>89</v>
      </c>
      <c r="B106" s="11" t="str">
        <f>[18]รายการสรุป!$E$20</f>
        <v>ปรับปรุงฝายห้วยแม่ไพรลูกที่ 6  พร้อมระบบส่งน้ำ ต.บ้านเป้า อ.เมือง จ.ลำปาง</v>
      </c>
      <c r="C106" s="54" t="str">
        <f>[18]รายการสรุป!$I$20</f>
        <v>0700349052420033</v>
      </c>
      <c r="D106" s="57" t="s">
        <v>61</v>
      </c>
      <c r="E106" s="52">
        <f t="shared" ref="E106" si="325">F106+G106</f>
        <v>584000</v>
      </c>
      <c r="F106" s="52">
        <v>0</v>
      </c>
      <c r="G106" s="53">
        <f>[18]รายการสรุป!$J$20</f>
        <v>584000</v>
      </c>
      <c r="H106" s="52">
        <f t="shared" ref="H106" si="326">J106+K106</f>
        <v>0</v>
      </c>
      <c r="I106" s="52">
        <f t="shared" ref="I106" si="327">H106*100/E106</f>
        <v>0</v>
      </c>
      <c r="J106" s="52">
        <v>0</v>
      </c>
      <c r="K106" s="52"/>
      <c r="L106" s="52">
        <f t="shared" ref="L106" si="328">N106+O106</f>
        <v>0</v>
      </c>
      <c r="M106" s="52">
        <f t="shared" ref="M106" si="329">L106*100/E106</f>
        <v>0</v>
      </c>
      <c r="N106" s="52">
        <v>0</v>
      </c>
      <c r="O106" s="52">
        <v>0</v>
      </c>
      <c r="P106" s="52">
        <f t="shared" ref="P106" si="330">R106+S106</f>
        <v>584000</v>
      </c>
      <c r="Q106" s="52">
        <f t="shared" ref="Q106" si="331">P106*100/E106</f>
        <v>100</v>
      </c>
      <c r="R106" s="52">
        <f t="shared" ref="R106" si="332">F106-J106-N106</f>
        <v>0</v>
      </c>
      <c r="S106" s="52">
        <f t="shared" ref="S106" si="333">G106-K106-O106</f>
        <v>584000</v>
      </c>
    </row>
    <row r="107" spans="1:19" ht="29.25" customHeight="1" x14ac:dyDescent="0.5">
      <c r="A107" s="9"/>
      <c r="B107" s="11"/>
      <c r="C107" s="54"/>
      <c r="D107" s="57"/>
      <c r="E107" s="52"/>
      <c r="F107" s="52"/>
      <c r="G107" s="53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</row>
    <row r="108" spans="1:19" ht="31.5" customHeight="1" x14ac:dyDescent="0.5">
      <c r="A108" s="9"/>
      <c r="B108" s="18" t="s">
        <v>72</v>
      </c>
      <c r="C108" s="18"/>
      <c r="D108" s="24"/>
      <c r="E108" s="19">
        <f>F108+G108</f>
        <v>1828584</v>
      </c>
      <c r="F108" s="19">
        <f>SUM(F109:F113)</f>
        <v>0</v>
      </c>
      <c r="G108" s="19">
        <f>SUM(G109:G113)</f>
        <v>1828584</v>
      </c>
      <c r="H108" s="19">
        <f>J108+K108</f>
        <v>775839.55</v>
      </c>
      <c r="I108" s="19">
        <f>H108*100/E108</f>
        <v>42.428433695143347</v>
      </c>
      <c r="J108" s="19">
        <f>SUM(J109:J113)</f>
        <v>0</v>
      </c>
      <c r="K108" s="19">
        <f>SUM(K109:K113)</f>
        <v>775839.55</v>
      </c>
      <c r="L108" s="19">
        <f>N108+O108</f>
        <v>0</v>
      </c>
      <c r="M108" s="19">
        <f>L108*100/E108</f>
        <v>0</v>
      </c>
      <c r="N108" s="19">
        <f>SUM(N109:N113)</f>
        <v>0</v>
      </c>
      <c r="O108" s="19">
        <f>SUM(O109:O113)</f>
        <v>0</v>
      </c>
      <c r="P108" s="19">
        <f t="shared" si="267"/>
        <v>1052744.45</v>
      </c>
      <c r="Q108" s="19">
        <f>P108*100/E108</f>
        <v>57.571566304856653</v>
      </c>
      <c r="R108" s="19">
        <f t="shared" si="269"/>
        <v>0</v>
      </c>
      <c r="S108" s="19">
        <f t="shared" si="270"/>
        <v>1052744.45</v>
      </c>
    </row>
    <row r="109" spans="1:19" ht="31.5" customHeight="1" x14ac:dyDescent="0.5">
      <c r="A109" s="9">
        <v>90</v>
      </c>
      <c r="B109" s="11" t="str">
        <f>[19]รายการสรุป!$E$5</f>
        <v>ปรับปรุงบ่อพักน้ำปากคลองซอย 1R-LMC ต.ดงมะดะ อ.แม่ลาว จ.เชียงราย</v>
      </c>
      <c r="C109" s="54" t="str">
        <f>[19]รายการสรุป!$I$5</f>
        <v>0700349052410016</v>
      </c>
      <c r="D109" s="57" t="s">
        <v>45</v>
      </c>
      <c r="E109" s="52">
        <f t="shared" ref="E109" si="334">F109+G109</f>
        <v>90500</v>
      </c>
      <c r="F109" s="52">
        <v>0</v>
      </c>
      <c r="G109" s="53">
        <f>[19]รายการสรุป!$J$5</f>
        <v>90500</v>
      </c>
      <c r="H109" s="52">
        <f t="shared" ref="H109" si="335">J109+K109</f>
        <v>45614.8</v>
      </c>
      <c r="I109" s="52">
        <f t="shared" ref="I109" si="336">H109*100/E109</f>
        <v>50.403093922651934</v>
      </c>
      <c r="J109" s="52">
        <v>0</v>
      </c>
      <c r="K109" s="52">
        <f>16663.7+18251.1+8620+2080</f>
        <v>45614.8</v>
      </c>
      <c r="L109" s="52">
        <f t="shared" ref="L109" si="337">N109+O109</f>
        <v>0</v>
      </c>
      <c r="M109" s="52">
        <f t="shared" ref="M109" si="338">L109*100/E109</f>
        <v>0</v>
      </c>
      <c r="N109" s="52">
        <v>0</v>
      </c>
      <c r="O109" s="52">
        <v>0</v>
      </c>
      <c r="P109" s="52">
        <f t="shared" ref="P109" si="339">R109+S109</f>
        <v>44885.2</v>
      </c>
      <c r="Q109" s="52">
        <f t="shared" ref="Q109" si="340">P109*100/E109</f>
        <v>49.596906077348066</v>
      </c>
      <c r="R109" s="52">
        <f t="shared" ref="R109" si="341">F109-J109-N109</f>
        <v>0</v>
      </c>
      <c r="S109" s="52">
        <f t="shared" ref="S109" si="342">G109-K109-O109</f>
        <v>44885.2</v>
      </c>
    </row>
    <row r="110" spans="1:19" ht="31.5" customHeight="1" x14ac:dyDescent="0.5">
      <c r="A110" s="9">
        <v>91</v>
      </c>
      <c r="B110" s="11" t="str">
        <f>[19]รายการสรุป!$E$6</f>
        <v>ปรับปรุงอาคารอัดน้ำ RMCพร้อมติดตั้งเกียร์มอเตอร์ ต.ทรายขาว อ.พาน จ.เชียงราย</v>
      </c>
      <c r="C110" s="54" t="str">
        <f>[20]รายการสรุป!$I$6</f>
        <v>0700349052410190</v>
      </c>
      <c r="D110" s="57" t="s">
        <v>45</v>
      </c>
      <c r="E110" s="52">
        <f t="shared" ref="E110:E113" si="343">F110+G110</f>
        <v>36879</v>
      </c>
      <c r="F110" s="52">
        <v>0</v>
      </c>
      <c r="G110" s="53">
        <f>[19]รายการสรุป!$J$6</f>
        <v>36879</v>
      </c>
      <c r="H110" s="52">
        <f t="shared" ref="H110:H113" si="344">J110+K110</f>
        <v>17860</v>
      </c>
      <c r="I110" s="52">
        <f t="shared" ref="I110:I113" si="345">H110*100/E110</f>
        <v>48.428645028335907</v>
      </c>
      <c r="J110" s="52">
        <v>0</v>
      </c>
      <c r="K110" s="52">
        <f>2080+15780</f>
        <v>17860</v>
      </c>
      <c r="L110" s="52">
        <f t="shared" ref="L110:L113" si="346">N110+O110</f>
        <v>0</v>
      </c>
      <c r="M110" s="52">
        <f t="shared" ref="M110:M113" si="347">L110*100/E110</f>
        <v>0</v>
      </c>
      <c r="N110" s="52">
        <v>0</v>
      </c>
      <c r="O110" s="52">
        <v>0</v>
      </c>
      <c r="P110" s="52">
        <f t="shared" ref="P110:P114" si="348">R110+S110</f>
        <v>19019</v>
      </c>
      <c r="Q110" s="52">
        <f t="shared" ref="Q110:Q113" si="349">P110*100/E110</f>
        <v>51.571354971664093</v>
      </c>
      <c r="R110" s="52">
        <f t="shared" ref="R110:R114" si="350">F110-J110-N110</f>
        <v>0</v>
      </c>
      <c r="S110" s="52">
        <f t="shared" ref="S110:S114" si="351">G110-K110-O110</f>
        <v>19019</v>
      </c>
    </row>
    <row r="111" spans="1:19" ht="31.5" customHeight="1" x14ac:dyDescent="0.5">
      <c r="A111" s="9">
        <v>92</v>
      </c>
      <c r="B111" s="11" t="str">
        <f>[19]รายการสรุป!$E$7</f>
        <v>ปรับปรุงอาคารอัดน้ำ LMCพร้อมติดตั้งเกียร์มอเตอร์ ต.ดงมะดะ อ.แม่ลาว จ.เชียงราย</v>
      </c>
      <c r="C111" s="54" t="str">
        <f>[20]รายการสรุป!$I$7</f>
        <v>0700349052410191</v>
      </c>
      <c r="D111" s="57" t="s">
        <v>45</v>
      </c>
      <c r="E111" s="52">
        <f t="shared" si="343"/>
        <v>10705</v>
      </c>
      <c r="F111" s="52">
        <v>0</v>
      </c>
      <c r="G111" s="53">
        <f>[19]รายการสรุป!$J$7</f>
        <v>10705</v>
      </c>
      <c r="H111" s="52">
        <f t="shared" si="344"/>
        <v>10640</v>
      </c>
      <c r="I111" s="52">
        <f t="shared" si="345"/>
        <v>99.39280709948622</v>
      </c>
      <c r="J111" s="52">
        <v>0</v>
      </c>
      <c r="K111" s="52">
        <f>3120+7520</f>
        <v>10640</v>
      </c>
      <c r="L111" s="52">
        <f t="shared" si="346"/>
        <v>0</v>
      </c>
      <c r="M111" s="52">
        <f t="shared" si="347"/>
        <v>0</v>
      </c>
      <c r="N111" s="52">
        <v>0</v>
      </c>
      <c r="O111" s="52">
        <v>0</v>
      </c>
      <c r="P111" s="52">
        <f t="shared" si="348"/>
        <v>65</v>
      </c>
      <c r="Q111" s="52">
        <f t="shared" si="349"/>
        <v>0.60719290051377861</v>
      </c>
      <c r="R111" s="52">
        <f t="shared" si="350"/>
        <v>0</v>
      </c>
      <c r="S111" s="52">
        <f t="shared" si="351"/>
        <v>65</v>
      </c>
    </row>
    <row r="112" spans="1:19" ht="31.5" customHeight="1" x14ac:dyDescent="0.5">
      <c r="A112" s="9">
        <v>93</v>
      </c>
      <c r="B112" s="11" t="str">
        <f>[19]รายการสรุป!$E$8</f>
        <v>ปรับปรุงคลองซอย 10L-RMC ต.เมืองพาน อ.พาน จ.เชียงราย</v>
      </c>
      <c r="C112" s="54" t="str">
        <f>[20]รายการสรุป!$I$8</f>
        <v>0700349052410192</v>
      </c>
      <c r="D112" s="57" t="s">
        <v>45</v>
      </c>
      <c r="E112" s="52">
        <f t="shared" si="343"/>
        <v>286500</v>
      </c>
      <c r="F112" s="52">
        <v>0</v>
      </c>
      <c r="G112" s="53">
        <f>[19]รายการสรุป!$J$8</f>
        <v>286500</v>
      </c>
      <c r="H112" s="52">
        <f t="shared" si="344"/>
        <v>137278.1</v>
      </c>
      <c r="I112" s="52">
        <f t="shared" si="345"/>
        <v>47.915567190226874</v>
      </c>
      <c r="J112" s="52">
        <v>0</v>
      </c>
      <c r="K112" s="52">
        <f>66654.8+70623.3</f>
        <v>137278.1</v>
      </c>
      <c r="L112" s="52">
        <f t="shared" si="346"/>
        <v>0</v>
      </c>
      <c r="M112" s="52">
        <f t="shared" si="347"/>
        <v>0</v>
      </c>
      <c r="N112" s="52">
        <v>0</v>
      </c>
      <c r="O112" s="52">
        <v>0</v>
      </c>
      <c r="P112" s="52">
        <f t="shared" si="348"/>
        <v>149221.9</v>
      </c>
      <c r="Q112" s="52">
        <f t="shared" si="349"/>
        <v>52.084432809773126</v>
      </c>
      <c r="R112" s="52">
        <f t="shared" si="350"/>
        <v>0</v>
      </c>
      <c r="S112" s="52">
        <f t="shared" si="351"/>
        <v>149221.9</v>
      </c>
    </row>
    <row r="113" spans="1:19" ht="31.5" customHeight="1" x14ac:dyDescent="0.5">
      <c r="A113" s="9">
        <v>94</v>
      </c>
      <c r="B113" s="11" t="str">
        <f>[19]รายการสรุป!$E$9</f>
        <v>ปรับปรุงประตูระบายน้ำเจ้าวรการบัญชาโครงการส่งน้ำและบำรุงรักษาแม่ลาว อ.พาน จ.เชียงราย</v>
      </c>
      <c r="C113" s="54" t="str">
        <f>[19]รายการสรุป!$I$9</f>
        <v>0700349052420034</v>
      </c>
      <c r="D113" s="57" t="s">
        <v>45</v>
      </c>
      <c r="E113" s="52">
        <f t="shared" si="343"/>
        <v>1404000</v>
      </c>
      <c r="F113" s="52">
        <v>0</v>
      </c>
      <c r="G113" s="53">
        <f>[19]รายการสรุป!$J$9</f>
        <v>1404000</v>
      </c>
      <c r="H113" s="52">
        <f t="shared" si="344"/>
        <v>564446.65</v>
      </c>
      <c r="I113" s="52">
        <f t="shared" si="345"/>
        <v>40.202752849002849</v>
      </c>
      <c r="J113" s="52">
        <v>0</v>
      </c>
      <c r="K113" s="52">
        <f>14074+14978+16076+218781+31343.15+11779.15+14800+212375.35+1280+12080+13280+3600</f>
        <v>564446.65</v>
      </c>
      <c r="L113" s="52">
        <f t="shared" si="346"/>
        <v>0</v>
      </c>
      <c r="M113" s="52">
        <f t="shared" si="347"/>
        <v>0</v>
      </c>
      <c r="N113" s="52">
        <v>0</v>
      </c>
      <c r="O113" s="52">
        <v>0</v>
      </c>
      <c r="P113" s="52">
        <f t="shared" si="348"/>
        <v>839553.35</v>
      </c>
      <c r="Q113" s="52">
        <f t="shared" si="349"/>
        <v>59.797247150997151</v>
      </c>
      <c r="R113" s="52">
        <f t="shared" si="350"/>
        <v>0</v>
      </c>
      <c r="S113" s="52">
        <f t="shared" si="351"/>
        <v>839553.35</v>
      </c>
    </row>
    <row r="114" spans="1:19" ht="31.5" customHeight="1" x14ac:dyDescent="0.5">
      <c r="A114" s="9"/>
      <c r="B114" s="18" t="s">
        <v>27</v>
      </c>
      <c r="C114" s="18"/>
      <c r="D114" s="24"/>
      <c r="E114" s="19">
        <f>F114+G114</f>
        <v>733500</v>
      </c>
      <c r="F114" s="19">
        <f>SUM(F115:F116)</f>
        <v>0</v>
      </c>
      <c r="G114" s="19">
        <f>SUM(G115:G116)</f>
        <v>733500</v>
      </c>
      <c r="H114" s="19">
        <f>J114+K114</f>
        <v>495158.05000000005</v>
      </c>
      <c r="I114" s="19">
        <f>H114*100/E114</f>
        <v>67.506209952283584</v>
      </c>
      <c r="J114" s="19">
        <f>SUM(J115:J116)</f>
        <v>0</v>
      </c>
      <c r="K114" s="19">
        <f>SUM(K115:K116)</f>
        <v>495158.05000000005</v>
      </c>
      <c r="L114" s="19">
        <f>N114+O114</f>
        <v>0</v>
      </c>
      <c r="M114" s="19">
        <f>L114*100/E114</f>
        <v>0</v>
      </c>
      <c r="N114" s="19">
        <f>SUM(N115:N116)</f>
        <v>0</v>
      </c>
      <c r="O114" s="19">
        <f>SUM(O115:O116)</f>
        <v>0</v>
      </c>
      <c r="P114" s="19">
        <f t="shared" si="348"/>
        <v>238341.94999999995</v>
      </c>
      <c r="Q114" s="19">
        <f>P114*100/E114</f>
        <v>32.493790047716423</v>
      </c>
      <c r="R114" s="19">
        <f t="shared" si="350"/>
        <v>0</v>
      </c>
      <c r="S114" s="19">
        <f t="shared" si="351"/>
        <v>238341.94999999995</v>
      </c>
    </row>
    <row r="115" spans="1:19" ht="45.75" customHeight="1" x14ac:dyDescent="0.5">
      <c r="A115" s="9">
        <v>95</v>
      </c>
      <c r="B115" s="11" t="str">
        <f>[21]รายการสรุป!$E$5</f>
        <v>ปรับปรุงท่อลอดคลองส่งน้ำRMC กม.48+600 พร้อมระบบระบายน้ำลงหนองเล็งทราย ระยะที่ 1 ต.ศรีถ้อย อ.แม่ใจ จ.พะเยา</v>
      </c>
      <c r="C115" s="54" t="str">
        <f>[21]รายการสรุป!$I$5</f>
        <v>0700349052410193</v>
      </c>
      <c r="D115" s="57" t="s">
        <v>45</v>
      </c>
      <c r="E115" s="52">
        <f t="shared" ref="E115" si="352">F115+G115</f>
        <v>264800</v>
      </c>
      <c r="F115" s="52">
        <v>0</v>
      </c>
      <c r="G115" s="53">
        <f>[21]รายการสรุป!$J$5</f>
        <v>264800</v>
      </c>
      <c r="H115" s="52">
        <f t="shared" ref="H115" si="353">J115+K115</f>
        <v>158541</v>
      </c>
      <c r="I115" s="52">
        <f t="shared" ref="I115" si="354">H115*100/E115</f>
        <v>59.871978851963746</v>
      </c>
      <c r="J115" s="52">
        <v>0</v>
      </c>
      <c r="K115" s="52">
        <f>75666.5+82874.5</f>
        <v>158541</v>
      </c>
      <c r="L115" s="52">
        <f t="shared" ref="L115" si="355">N115+O115</f>
        <v>0</v>
      </c>
      <c r="M115" s="52">
        <f t="shared" ref="M115" si="356">L115*100/E115</f>
        <v>0</v>
      </c>
      <c r="N115" s="52">
        <v>0</v>
      </c>
      <c r="O115" s="52">
        <v>0</v>
      </c>
      <c r="P115" s="52">
        <f t="shared" ref="P115" si="357">R115+S115</f>
        <v>106259</v>
      </c>
      <c r="Q115" s="52">
        <f t="shared" ref="Q115" si="358">P115*100/E115</f>
        <v>40.128021148036254</v>
      </c>
      <c r="R115" s="52">
        <f t="shared" ref="R115" si="359">F115-J115-N115</f>
        <v>0</v>
      </c>
      <c r="S115" s="52">
        <f t="shared" ref="S115" si="360">G115-K115-O115</f>
        <v>106259</v>
      </c>
    </row>
    <row r="116" spans="1:19" ht="31.5" customHeight="1" x14ac:dyDescent="0.5">
      <c r="A116" s="9">
        <v>96</v>
      </c>
      <c r="B116" s="11" t="str">
        <f>[21]รายการสรุป!$E$6</f>
        <v>ปรับปรุงระบบระบายน้ำบ้านนาเจริญพร้อมอาคารประกอบ ต.อ่างทอง อ.เชียงคำ จ.พะเยา</v>
      </c>
      <c r="C116" s="54" t="str">
        <f>[21]รายการสรุป!$I$6</f>
        <v>0700349052420037</v>
      </c>
      <c r="D116" s="57" t="s">
        <v>45</v>
      </c>
      <c r="E116" s="52">
        <f t="shared" ref="E116" si="361">F116+G116</f>
        <v>468700</v>
      </c>
      <c r="F116" s="52">
        <v>0</v>
      </c>
      <c r="G116" s="53">
        <f>[21]รายการสรุป!$J$6</f>
        <v>468700</v>
      </c>
      <c r="H116" s="52">
        <f t="shared" ref="H116" si="362">J116+K116</f>
        <v>336617.05000000005</v>
      </c>
      <c r="I116" s="52">
        <f t="shared" ref="I116" si="363">H116*100/E116</f>
        <v>71.81929805845958</v>
      </c>
      <c r="J116" s="52">
        <v>0</v>
      </c>
      <c r="K116" s="52">
        <f>24598.7+23806+20000+20000+14980+19993+30000+2560+155129.35+2560+19950+3040</f>
        <v>336617.05000000005</v>
      </c>
      <c r="L116" s="52">
        <f t="shared" ref="L116" si="364">N116+O116</f>
        <v>0</v>
      </c>
      <c r="M116" s="52">
        <f t="shared" ref="M116" si="365">L116*100/E116</f>
        <v>0</v>
      </c>
      <c r="N116" s="52">
        <v>0</v>
      </c>
      <c r="O116" s="52">
        <v>0</v>
      </c>
      <c r="P116" s="52">
        <f t="shared" ref="P116:P117" si="366">R116+S116</f>
        <v>132082.94999999995</v>
      </c>
      <c r="Q116" s="52">
        <f t="shared" ref="Q116" si="367">P116*100/E116</f>
        <v>28.180701941540423</v>
      </c>
      <c r="R116" s="52">
        <f t="shared" ref="R116:R117" si="368">F116-J116-N116</f>
        <v>0</v>
      </c>
      <c r="S116" s="52">
        <f t="shared" ref="S116:S117" si="369">G116-K116-O116</f>
        <v>132082.94999999995</v>
      </c>
    </row>
    <row r="117" spans="1:19" ht="31.5" customHeight="1" x14ac:dyDescent="0.5">
      <c r="A117" s="9"/>
      <c r="B117" s="18" t="s">
        <v>59</v>
      </c>
      <c r="C117" s="18"/>
      <c r="D117" s="24"/>
      <c r="E117" s="19">
        <f>F117+G117</f>
        <v>802000</v>
      </c>
      <c r="F117" s="19">
        <f>SUM(F118)</f>
        <v>0</v>
      </c>
      <c r="G117" s="19">
        <f>SUM(G118:G119)</f>
        <v>802000</v>
      </c>
      <c r="H117" s="19">
        <f>J117+K117</f>
        <v>330765.45</v>
      </c>
      <c r="I117" s="19">
        <f>H117*100/E117</f>
        <v>41.242574812967582</v>
      </c>
      <c r="J117" s="19">
        <f>SUM(J118)</f>
        <v>0</v>
      </c>
      <c r="K117" s="19">
        <f>SUM(K118:K119)</f>
        <v>330765.45</v>
      </c>
      <c r="L117" s="19">
        <f>N117+O117</f>
        <v>0</v>
      </c>
      <c r="M117" s="19">
        <f>L117*100/E117</f>
        <v>0</v>
      </c>
      <c r="N117" s="19">
        <f>SUM(N118)</f>
        <v>0</v>
      </c>
      <c r="O117" s="19">
        <f>SUM(O118:O119)</f>
        <v>0</v>
      </c>
      <c r="P117" s="19">
        <f t="shared" si="366"/>
        <v>471234.55</v>
      </c>
      <c r="Q117" s="19">
        <f>P117*100/E117</f>
        <v>58.757425187032418</v>
      </c>
      <c r="R117" s="19">
        <f t="shared" si="368"/>
        <v>0</v>
      </c>
      <c r="S117" s="19">
        <f t="shared" si="369"/>
        <v>471234.55</v>
      </c>
    </row>
    <row r="118" spans="1:19" ht="31.5" customHeight="1" x14ac:dyDescent="0.5">
      <c r="A118" s="9">
        <v>97</v>
      </c>
      <c r="B118" s="11" t="str">
        <f>[22]รายการสรุป!$E$5</f>
        <v>ปรับปรุงระบบส่งน้ำฝั่งซ้ายอ่างเก็บน้ำน้ำพงและอาคารประกอบ(ขนาดกลาง) ต.พงษ์ อ.สันติสุข จ.น่าน</v>
      </c>
      <c r="C118" s="54" t="str">
        <f>[22]รายการสรุป!$I$5</f>
        <v>0700349052420164</v>
      </c>
      <c r="D118" s="57" t="s">
        <v>45</v>
      </c>
      <c r="E118" s="52">
        <f t="shared" ref="E118" si="370">F118+G118</f>
        <v>408000</v>
      </c>
      <c r="F118" s="52">
        <v>0</v>
      </c>
      <c r="G118" s="53">
        <f>[22]รายการสรุป!$J$5</f>
        <v>408000</v>
      </c>
      <c r="H118" s="52">
        <f t="shared" ref="H118" si="371">J118+K118</f>
        <v>244670</v>
      </c>
      <c r="I118" s="52">
        <f t="shared" ref="I118" si="372">H118*100/E118</f>
        <v>59.968137254901961</v>
      </c>
      <c r="J118" s="52">
        <v>0</v>
      </c>
      <c r="K118" s="52">
        <f>41659.25+4640+1280+26880+2320+45627.75+1372+43071+41500+23200+13120</f>
        <v>244670</v>
      </c>
      <c r="L118" s="52">
        <f t="shared" ref="L118" si="373">N118+O118</f>
        <v>0</v>
      </c>
      <c r="M118" s="52">
        <f t="shared" ref="M118" si="374">L118*100/E118</f>
        <v>0</v>
      </c>
      <c r="N118" s="52">
        <v>0</v>
      </c>
      <c r="O118" s="52">
        <v>0</v>
      </c>
      <c r="P118" s="52">
        <f t="shared" ref="P118" si="375">R118+S118</f>
        <v>163330</v>
      </c>
      <c r="Q118" s="52">
        <f t="shared" ref="Q118" si="376">P118*100/E118</f>
        <v>40.031862745098039</v>
      </c>
      <c r="R118" s="52">
        <f t="shared" ref="R118" si="377">F118-J118-N118</f>
        <v>0</v>
      </c>
      <c r="S118" s="52">
        <f t="shared" ref="S118" si="378">G118-K118-O118</f>
        <v>163330</v>
      </c>
    </row>
    <row r="119" spans="1:19" ht="31.5" customHeight="1" x14ac:dyDescent="0.5">
      <c r="A119" s="9">
        <v>98</v>
      </c>
      <c r="B119" s="11" t="str">
        <f>[23]รายการสรุป!$E$6</f>
        <v>ปรับปรุงหัวงานฝายดอนแก้วและอาคารประกอบ ต.พระธาตุ อ.เชียงกลาง จ.น่าน</v>
      </c>
      <c r="C119" s="54" t="str">
        <f>[23]รายการสรุป!$I$6</f>
        <v>0700349052420035</v>
      </c>
      <c r="D119" s="57" t="s">
        <v>61</v>
      </c>
      <c r="E119" s="52">
        <f t="shared" ref="E119" si="379">F119+G119</f>
        <v>394000</v>
      </c>
      <c r="F119" s="52">
        <v>0</v>
      </c>
      <c r="G119" s="53">
        <f>[23]รายการสรุป!$J$6</f>
        <v>394000</v>
      </c>
      <c r="H119" s="52">
        <f t="shared" ref="H119" si="380">J119+K119</f>
        <v>86095.45</v>
      </c>
      <c r="I119" s="52">
        <f t="shared" ref="I119" si="381">H119*100/E119</f>
        <v>21.851637055837564</v>
      </c>
      <c r="J119" s="52">
        <v>0</v>
      </c>
      <c r="K119" s="52">
        <f>86095.45</f>
        <v>86095.45</v>
      </c>
      <c r="L119" s="52">
        <f t="shared" ref="L119" si="382">N119+O119</f>
        <v>0</v>
      </c>
      <c r="M119" s="52">
        <f t="shared" ref="M119" si="383">L119*100/E119</f>
        <v>0</v>
      </c>
      <c r="N119" s="52">
        <v>0</v>
      </c>
      <c r="O119" s="52">
        <v>0</v>
      </c>
      <c r="P119" s="52">
        <f t="shared" ref="P119" si="384">R119+S119</f>
        <v>307904.55</v>
      </c>
      <c r="Q119" s="52">
        <f t="shared" ref="Q119" si="385">P119*100/E119</f>
        <v>78.148362944162443</v>
      </c>
      <c r="R119" s="52">
        <f t="shared" ref="R119" si="386">F119-J119-N119</f>
        <v>0</v>
      </c>
      <c r="S119" s="52">
        <f t="shared" ref="S119" si="387">G119-K119-O119</f>
        <v>307904.55</v>
      </c>
    </row>
    <row r="120" spans="1:19" ht="31.5" customHeight="1" x14ac:dyDescent="0.5">
      <c r="A120" s="9"/>
      <c r="B120" s="18" t="s">
        <v>41</v>
      </c>
      <c r="C120" s="18"/>
      <c r="D120" s="24"/>
      <c r="E120" s="19">
        <f>F120+G120</f>
        <v>9692000</v>
      </c>
      <c r="F120" s="19">
        <f>SUM(F121:F123)</f>
        <v>0</v>
      </c>
      <c r="G120" s="19">
        <f>SUM(G121:G124)</f>
        <v>9692000</v>
      </c>
      <c r="H120" s="19">
        <f>J120+K120</f>
        <v>5519563.4699999997</v>
      </c>
      <c r="I120" s="19">
        <f>H120*100/E120</f>
        <v>56.949684997936444</v>
      </c>
      <c r="J120" s="19">
        <f>SUM(J121:J123)</f>
        <v>0</v>
      </c>
      <c r="K120" s="19">
        <f>SUM(K121:K124)</f>
        <v>5519563.4699999997</v>
      </c>
      <c r="L120" s="19">
        <f>N120+O120</f>
        <v>0</v>
      </c>
      <c r="M120" s="19">
        <f>L120*100/E120</f>
        <v>0</v>
      </c>
      <c r="N120" s="19">
        <f>SUM(N121:N123)</f>
        <v>0</v>
      </c>
      <c r="O120" s="19">
        <f>SUM(O121:O123)</f>
        <v>0</v>
      </c>
      <c r="P120" s="19">
        <f t="shared" si="267"/>
        <v>4172436.5300000003</v>
      </c>
      <c r="Q120" s="19">
        <f>P120*100/E120</f>
        <v>43.050315002063556</v>
      </c>
      <c r="R120" s="19">
        <f t="shared" si="269"/>
        <v>0</v>
      </c>
      <c r="S120" s="19">
        <f t="shared" si="270"/>
        <v>4172436.5300000003</v>
      </c>
    </row>
    <row r="121" spans="1:19" ht="31.5" customHeight="1" x14ac:dyDescent="0.5">
      <c r="A121" s="9">
        <v>99</v>
      </c>
      <c r="B121" s="58" t="str">
        <f>[24]รายการสรุป!$E$5</f>
        <v>ค่าศึกษา</v>
      </c>
      <c r="C121" s="54" t="str">
        <f>[24]รายการสรุป!$I$5</f>
        <v>0700349052420002</v>
      </c>
      <c r="D121" s="57" t="s">
        <v>42</v>
      </c>
      <c r="E121" s="52">
        <f t="shared" ref="E121" si="388">F121+G121</f>
        <v>1920000</v>
      </c>
      <c r="F121" s="52">
        <v>0</v>
      </c>
      <c r="G121" s="53">
        <f>[24]รายการสรุป!$J$5</f>
        <v>1920000</v>
      </c>
      <c r="H121" s="52">
        <f t="shared" ref="H121" si="389">J121+K121</f>
        <v>1142289.9099999999</v>
      </c>
      <c r="I121" s="52">
        <f t="shared" ref="I121" si="390">H121*100/E121</f>
        <v>59.494266145833329</v>
      </c>
      <c r="J121" s="52">
        <v>0</v>
      </c>
      <c r="K121" s="52">
        <f>6960+34758+35627.5+7560+16240+19900+23854.8+2560+34007.25+79994+12016+57130+35200+27191.5+12769+2490+9280+18560+99918+36453.05+15836+27680+17738+32026+7040.46+61120+40323+18560+38206+29980+41680+25197.7+18560+41659.25+25116+24660+11600+24876+28182.4+39780</f>
        <v>1142289.9099999999</v>
      </c>
      <c r="L121" s="52">
        <f t="shared" ref="L121" si="391">N121+O121</f>
        <v>0</v>
      </c>
      <c r="M121" s="52">
        <f t="shared" ref="M121" si="392">L121*100/E121</f>
        <v>0</v>
      </c>
      <c r="N121" s="52">
        <v>0</v>
      </c>
      <c r="O121" s="52">
        <v>0</v>
      </c>
      <c r="P121" s="52">
        <f t="shared" ref="P121" si="393">R121+S121</f>
        <v>777710.09000000008</v>
      </c>
      <c r="Q121" s="52">
        <f t="shared" ref="Q121" si="394">P121*100/E121</f>
        <v>40.505733854166671</v>
      </c>
      <c r="R121" s="52">
        <f t="shared" ref="R121" si="395">F121-J121-N121</f>
        <v>0</v>
      </c>
      <c r="S121" s="52">
        <f t="shared" ref="S121" si="396">G121-K121-O121</f>
        <v>777710.09000000008</v>
      </c>
    </row>
    <row r="122" spans="1:19" ht="31.5" customHeight="1" x14ac:dyDescent="0.5">
      <c r="A122" s="9">
        <v>100</v>
      </c>
      <c r="B122" s="58" t="str">
        <f>[24]รายการสรุป!$E$6</f>
        <v>ค่าสำรวจ</v>
      </c>
      <c r="C122" s="54" t="str">
        <f>[24]รายการสรุป!$I$6</f>
        <v>0700349052420002</v>
      </c>
      <c r="D122" s="57" t="s">
        <v>42</v>
      </c>
      <c r="E122" s="52">
        <f t="shared" ref="E122:E123" si="397">F122+G122</f>
        <v>4787000</v>
      </c>
      <c r="F122" s="52">
        <v>0</v>
      </c>
      <c r="G122" s="53">
        <f>[25]รายการสรุป!$J$6</f>
        <v>4787000</v>
      </c>
      <c r="H122" s="52">
        <f t="shared" ref="H122:H124" si="398">J122+K122</f>
        <v>2396002.36</v>
      </c>
      <c r="I122" s="52">
        <f t="shared" ref="I122:I123" si="399">H122*100/E122</f>
        <v>50.052274075621476</v>
      </c>
      <c r="J122" s="52">
        <v>0</v>
      </c>
      <c r="K122" s="52">
        <f>3360+6815+37012+325100+4640+23520+13440+25420+4160+307143.2+11550+13975.01+7777+59384+35520+18468+324306.3+33520+49815+57016+100492.8+11318+7614+22986+295142.15+18366+14174+130967.6+27470+3746+16522+309524.3+9445+5465+60828</f>
        <v>2396002.36</v>
      </c>
      <c r="L122" s="52">
        <f t="shared" ref="L122:L123" si="400">N122+O122</f>
        <v>0</v>
      </c>
      <c r="M122" s="52">
        <f t="shared" ref="M122:M123" si="401">L122*100/E122</f>
        <v>0</v>
      </c>
      <c r="N122" s="52">
        <v>0</v>
      </c>
      <c r="O122" s="52">
        <v>0</v>
      </c>
      <c r="P122" s="52">
        <f t="shared" ref="P122:P125" si="402">R122+S122</f>
        <v>2390997.64</v>
      </c>
      <c r="Q122" s="52">
        <f t="shared" ref="Q122:Q123" si="403">P122*100/E122</f>
        <v>49.947725924378524</v>
      </c>
      <c r="R122" s="52">
        <f t="shared" ref="R122:R125" si="404">F122-J122-N122</f>
        <v>0</v>
      </c>
      <c r="S122" s="52">
        <f t="shared" ref="S122:S125" si="405">G122-K122-O122</f>
        <v>2390997.64</v>
      </c>
    </row>
    <row r="123" spans="1:19" ht="31.5" customHeight="1" x14ac:dyDescent="0.5">
      <c r="A123" s="9">
        <v>101</v>
      </c>
      <c r="B123" s="58" t="str">
        <f>[24]รายการสรุป!$E$7</f>
        <v>ค่าออกแบบ</v>
      </c>
      <c r="C123" s="54" t="str">
        <f>[24]รายการสรุป!$I$7</f>
        <v>0700349052420002</v>
      </c>
      <c r="D123" s="57" t="s">
        <v>42</v>
      </c>
      <c r="E123" s="52">
        <f t="shared" si="397"/>
        <v>2510000</v>
      </c>
      <c r="F123" s="52">
        <v>0</v>
      </c>
      <c r="G123" s="53">
        <f>[24]รายการสรุป!$J$7</f>
        <v>2510000</v>
      </c>
      <c r="H123" s="52">
        <f t="shared" si="398"/>
        <v>1511915.2</v>
      </c>
      <c r="I123" s="52">
        <f t="shared" si="399"/>
        <v>60.235665338645418</v>
      </c>
      <c r="J123" s="52">
        <v>0</v>
      </c>
      <c r="K123" s="52">
        <f>15104+6960+28526+8728.7+69829.6+4640+4640+39917.9+49980+74986.65+42502+3022.8+200700+45342+17994+16392+61520+1280+1695+81733.1+55528+47120+51387.6+14720+13440+2320+71415+9280+44040+51387.6+32480+9280+104400+18080+74986.65+25129+23200+48364.8+36840+3022.8</f>
        <v>1511915.2</v>
      </c>
      <c r="L123" s="52">
        <f t="shared" si="400"/>
        <v>0</v>
      </c>
      <c r="M123" s="52">
        <f t="shared" si="401"/>
        <v>0</v>
      </c>
      <c r="N123" s="52">
        <v>0</v>
      </c>
      <c r="O123" s="52">
        <v>0</v>
      </c>
      <c r="P123" s="52">
        <f t="shared" si="402"/>
        <v>998084.8</v>
      </c>
      <c r="Q123" s="52">
        <f t="shared" si="403"/>
        <v>39.764334661354582</v>
      </c>
      <c r="R123" s="52">
        <f t="shared" si="404"/>
        <v>0</v>
      </c>
      <c r="S123" s="52">
        <f t="shared" si="405"/>
        <v>998084.8</v>
      </c>
    </row>
    <row r="124" spans="1:19" ht="31.5" customHeight="1" x14ac:dyDescent="0.5">
      <c r="A124" s="9">
        <v>102</v>
      </c>
      <c r="B124" s="58" t="str">
        <f>[26]รายการสรุป!$E$5</f>
        <v>โครงการปรับปรุงโครงข่ายหมุดหลักฐานทางราบและทางดิ่งในพื้นที่ลุ่มน้ำเจ้าพระยา ระยะที่ 2 และลุ่มน้ำยม  กทม.</v>
      </c>
      <c r="C124" s="54" t="str">
        <f>[26]รายการสรุป!$I$5</f>
        <v>0700349052420020</v>
      </c>
      <c r="D124" s="57" t="s">
        <v>65</v>
      </c>
      <c r="E124" s="52">
        <f t="shared" ref="E124" si="406">F124+G124</f>
        <v>475000</v>
      </c>
      <c r="F124" s="52">
        <v>0</v>
      </c>
      <c r="G124" s="53">
        <f>[26]รายการสรุป!$J$5</f>
        <v>475000</v>
      </c>
      <c r="H124" s="52">
        <f t="shared" si="398"/>
        <v>469356</v>
      </c>
      <c r="I124" s="52">
        <f t="shared" ref="I124" si="407">H124*100/E124</f>
        <v>98.811789473684215</v>
      </c>
      <c r="J124" s="52">
        <v>0</v>
      </c>
      <c r="K124" s="52">
        <f>208875+98241+141540+20700</f>
        <v>469356</v>
      </c>
      <c r="L124" s="52">
        <f t="shared" ref="L124" si="408">N124+O124</f>
        <v>0</v>
      </c>
      <c r="M124" s="52">
        <f t="shared" ref="M124" si="409">L124*100/E124</f>
        <v>0</v>
      </c>
      <c r="N124" s="52">
        <v>0</v>
      </c>
      <c r="O124" s="52">
        <v>0</v>
      </c>
      <c r="P124" s="52">
        <f t="shared" ref="P124" si="410">R124+S124</f>
        <v>5644</v>
      </c>
      <c r="Q124" s="52">
        <f t="shared" ref="Q124" si="411">P124*100/E124</f>
        <v>1.1882105263157894</v>
      </c>
      <c r="R124" s="52">
        <f t="shared" ref="R124" si="412">F124-J124-N124</f>
        <v>0</v>
      </c>
      <c r="S124" s="52">
        <f t="shared" ref="S124" si="413">G124-K124-O124</f>
        <v>5644</v>
      </c>
    </row>
    <row r="125" spans="1:19" ht="31.5" customHeight="1" x14ac:dyDescent="0.5">
      <c r="A125" s="9"/>
      <c r="B125" s="18" t="s">
        <v>55</v>
      </c>
      <c r="C125" s="18"/>
      <c r="D125" s="24"/>
      <c r="E125" s="19">
        <f>F125+G125</f>
        <v>209500</v>
      </c>
      <c r="F125" s="19">
        <f>SUM(F126:F126)</f>
        <v>0</v>
      </c>
      <c r="G125" s="19">
        <f>SUM(G126:G126)</f>
        <v>209500</v>
      </c>
      <c r="H125" s="19">
        <f>J125+K125</f>
        <v>83532.399999999994</v>
      </c>
      <c r="I125" s="19">
        <f>H125*100/E125</f>
        <v>39.872267303102618</v>
      </c>
      <c r="J125" s="19">
        <f>SUM(J126:J126)</f>
        <v>0</v>
      </c>
      <c r="K125" s="19">
        <f>SUM(K126:K126)</f>
        <v>83532.399999999994</v>
      </c>
      <c r="L125" s="19">
        <f>N125+O125</f>
        <v>0</v>
      </c>
      <c r="M125" s="19">
        <f>L125*100/E125</f>
        <v>0</v>
      </c>
      <c r="N125" s="19">
        <f>SUM(N126:N126)</f>
        <v>0</v>
      </c>
      <c r="O125" s="19">
        <f>SUM(O126:O126)</f>
        <v>0</v>
      </c>
      <c r="P125" s="19">
        <f t="shared" si="402"/>
        <v>125967.6</v>
      </c>
      <c r="Q125" s="19">
        <f>P125*100/E125</f>
        <v>60.127732696897375</v>
      </c>
      <c r="R125" s="19">
        <f t="shared" si="404"/>
        <v>0</v>
      </c>
      <c r="S125" s="19">
        <f t="shared" si="405"/>
        <v>125967.6</v>
      </c>
    </row>
    <row r="126" spans="1:19" ht="31.5" customHeight="1" x14ac:dyDescent="0.5">
      <c r="A126" s="9">
        <v>103</v>
      </c>
      <c r="B126" s="59" t="str">
        <f>[27]รายการสรุป!$E$5</f>
        <v>โครงการติดตามผลกระทบแผ่นดินไหว 7 โครงการ กรุงเทพมหานคร</v>
      </c>
      <c r="C126" s="59" t="str">
        <f>[27]รายการสรุป!$I$5</f>
        <v>0700349052410004</v>
      </c>
      <c r="D126" s="57" t="s">
        <v>56</v>
      </c>
      <c r="E126" s="52">
        <f t="shared" ref="E126" si="414">F126+G126</f>
        <v>209500</v>
      </c>
      <c r="F126" s="52">
        <v>0</v>
      </c>
      <c r="G126" s="53">
        <f>[27]รายการสรุป!$J$5</f>
        <v>209500</v>
      </c>
      <c r="H126" s="52">
        <f t="shared" ref="H126" si="415">J126+K126</f>
        <v>83532.399999999994</v>
      </c>
      <c r="I126" s="52">
        <f t="shared" ref="I126" si="416">H126*100/E126</f>
        <v>39.872267303102618</v>
      </c>
      <c r="J126" s="52">
        <v>0</v>
      </c>
      <c r="K126" s="52">
        <f>57428.7+2480+16663.7+6960</f>
        <v>83532.399999999994</v>
      </c>
      <c r="L126" s="52">
        <f t="shared" ref="L126" si="417">N126+O126</f>
        <v>0</v>
      </c>
      <c r="M126" s="52">
        <f t="shared" ref="M126" si="418">L126*100/E126</f>
        <v>0</v>
      </c>
      <c r="N126" s="52">
        <v>0</v>
      </c>
      <c r="O126" s="52">
        <v>0</v>
      </c>
      <c r="P126" s="52">
        <f t="shared" ref="P126:P127" si="419">R126+S126</f>
        <v>125967.6</v>
      </c>
      <c r="Q126" s="52">
        <f t="shared" ref="Q126" si="420">P126*100/E126</f>
        <v>60.127732696897375</v>
      </c>
      <c r="R126" s="52">
        <f t="shared" ref="R126:R127" si="421">F126-J126-N126</f>
        <v>0</v>
      </c>
      <c r="S126" s="52">
        <f t="shared" ref="S126:S127" si="422">G126-K126-O126</f>
        <v>125967.6</v>
      </c>
    </row>
    <row r="127" spans="1:19" ht="26.25" customHeight="1" x14ac:dyDescent="0.5">
      <c r="A127" s="9"/>
      <c r="B127" s="18" t="s">
        <v>69</v>
      </c>
      <c r="C127" s="18"/>
      <c r="D127" s="24"/>
      <c r="E127" s="19">
        <f>F127+G127</f>
        <v>1774000</v>
      </c>
      <c r="F127" s="19">
        <f>SUM(F128:F130)</f>
        <v>0</v>
      </c>
      <c r="G127" s="19">
        <f>SUM(G128:G130)</f>
        <v>1774000</v>
      </c>
      <c r="H127" s="19">
        <f>J127+K127</f>
        <v>615804.61</v>
      </c>
      <c r="I127" s="19">
        <f>H127*100/E127</f>
        <v>34.712773957158966</v>
      </c>
      <c r="J127" s="19">
        <f>SUM(J128:J130)</f>
        <v>0</v>
      </c>
      <c r="K127" s="19">
        <f>SUM(K128:K130)</f>
        <v>615804.61</v>
      </c>
      <c r="L127" s="19">
        <f>N127+O127</f>
        <v>0</v>
      </c>
      <c r="M127" s="19">
        <f>L127*100/E127</f>
        <v>0</v>
      </c>
      <c r="N127" s="19">
        <f>SUM(N128:N128)</f>
        <v>0</v>
      </c>
      <c r="O127" s="19">
        <f>SUM(O128:O129)</f>
        <v>0</v>
      </c>
      <c r="P127" s="19">
        <f t="shared" si="419"/>
        <v>1158195.3900000001</v>
      </c>
      <c r="Q127" s="19">
        <f>P127*100/E127</f>
        <v>65.287226042841041</v>
      </c>
      <c r="R127" s="19">
        <f t="shared" si="421"/>
        <v>0</v>
      </c>
      <c r="S127" s="19">
        <f t="shared" si="422"/>
        <v>1158195.3900000001</v>
      </c>
    </row>
    <row r="128" spans="1:19" ht="31.5" customHeight="1" x14ac:dyDescent="0.5">
      <c r="A128" s="9">
        <v>104</v>
      </c>
      <c r="B128" s="59" t="str">
        <f>[28]รายการสรุป!$E$5</f>
        <v>ซ่อมแซมระบบไฟฟ้าเครื่องมือตรวจวัดพฤติกรรมเขื่อนพร้อมระบบส่งข้อมูลอัตโนมัติเขื่อนแม่ต๋ำ จ.พะเยา</v>
      </c>
      <c r="C128" s="59" t="str">
        <f>[29]รายการสรุป!$I$5</f>
        <v>0700349052410002</v>
      </c>
      <c r="D128" s="57" t="s">
        <v>70</v>
      </c>
      <c r="E128" s="52">
        <f t="shared" ref="E128" si="423">F128+G128</f>
        <v>1059000</v>
      </c>
      <c r="F128" s="52">
        <v>0</v>
      </c>
      <c r="G128" s="53">
        <f>[28]รายการสรุป!$J$5</f>
        <v>1059000</v>
      </c>
      <c r="H128" s="52">
        <f t="shared" ref="H128" si="424">J128+K128</f>
        <v>615804.61</v>
      </c>
      <c r="I128" s="52">
        <f t="shared" ref="I128" si="425">H128*100/E128</f>
        <v>58.149632672332388</v>
      </c>
      <c r="J128" s="52">
        <v>0</v>
      </c>
      <c r="K128" s="52">
        <f>29926.65+15920+15870+21913.7+483460+39994.26+2560+6160</f>
        <v>615804.61</v>
      </c>
      <c r="L128" s="52">
        <f t="shared" ref="L128" si="426">N128+O128</f>
        <v>0</v>
      </c>
      <c r="M128" s="52">
        <f t="shared" ref="M128" si="427">L128*100/E128</f>
        <v>0</v>
      </c>
      <c r="N128" s="52">
        <v>0</v>
      </c>
      <c r="O128" s="52">
        <v>0</v>
      </c>
      <c r="P128" s="52">
        <f t="shared" ref="P128" si="428">R128+S128</f>
        <v>443195.39</v>
      </c>
      <c r="Q128" s="52">
        <f t="shared" ref="Q128" si="429">P128*100/E128</f>
        <v>41.850367327667612</v>
      </c>
      <c r="R128" s="52">
        <f t="shared" ref="R128" si="430">F128-J128-N128</f>
        <v>0</v>
      </c>
      <c r="S128" s="52">
        <f t="shared" ref="S128" si="431">G128-K128-O128</f>
        <v>443195.39</v>
      </c>
    </row>
    <row r="129" spans="1:19" ht="31.5" customHeight="1" x14ac:dyDescent="0.5">
      <c r="A129" s="9">
        <v>105</v>
      </c>
      <c r="B129" s="59" t="str">
        <f>[29]รายการสรุป!$E$6</f>
        <v>ซ่อมแซมระบบไฟฟ้าเครื่องมือตรวจวัดพฤติกรรมเขื่อนพร้อมระบบส่งข้อมูลอัตโนมัติเขื่อนกิ่วคอหมา อ.แจ้ห่ม จ.ลำปาง</v>
      </c>
      <c r="C129" s="59" t="str">
        <f>[29]รายการสรุป!$I$6</f>
        <v>0700349052410002</v>
      </c>
      <c r="D129" s="57" t="s">
        <v>75</v>
      </c>
      <c r="E129" s="52">
        <f t="shared" ref="E129" si="432">F129+G129</f>
        <v>216000</v>
      </c>
      <c r="F129" s="52">
        <v>0</v>
      </c>
      <c r="G129" s="53">
        <f>[29]รายการสรุป!$J$6</f>
        <v>216000</v>
      </c>
      <c r="H129" s="52">
        <f t="shared" ref="H129" si="433">J129+K129</f>
        <v>0</v>
      </c>
      <c r="I129" s="52">
        <f t="shared" ref="I129" si="434">H129*100/E129</f>
        <v>0</v>
      </c>
      <c r="J129" s="52">
        <v>0</v>
      </c>
      <c r="K129" s="52">
        <v>0</v>
      </c>
      <c r="L129" s="52">
        <f t="shared" ref="L129" si="435">N129+O129</f>
        <v>0</v>
      </c>
      <c r="M129" s="52">
        <f t="shared" ref="M129" si="436">L129*100/E129</f>
        <v>0</v>
      </c>
      <c r="N129" s="52">
        <v>0</v>
      </c>
      <c r="O129" s="52">
        <v>0</v>
      </c>
      <c r="P129" s="52">
        <f t="shared" ref="P129" si="437">R129+S129</f>
        <v>216000</v>
      </c>
      <c r="Q129" s="52">
        <f t="shared" ref="Q129" si="438">P129*100/E129</f>
        <v>100</v>
      </c>
      <c r="R129" s="52">
        <f t="shared" ref="R129" si="439">F129-J129-N129</f>
        <v>0</v>
      </c>
      <c r="S129" s="52">
        <f t="shared" ref="S129" si="440">G129-K129-O129</f>
        <v>216000</v>
      </c>
    </row>
    <row r="130" spans="1:19" ht="31.5" customHeight="1" x14ac:dyDescent="0.5">
      <c r="A130" s="9">
        <v>106</v>
      </c>
      <c r="B130" s="59" t="str">
        <f>[29]รายการสรุป!$E$7</f>
        <v>ซ่อมเครื่องมือตรวจวัดพฤติกรรมเขื่อนทำนบดินปิดช่องเขาต่ำเขื่อนกิ่วคอหมา อ.แจ้ห่ม จ.ลำปาง</v>
      </c>
      <c r="C130" s="59" t="str">
        <f>[29]รายการสรุป!$I$7</f>
        <v>0700349052410002</v>
      </c>
      <c r="D130" s="57" t="s">
        <v>83</v>
      </c>
      <c r="E130" s="52">
        <f t="shared" ref="E130" si="441">F130+G130</f>
        <v>499000</v>
      </c>
      <c r="F130" s="52">
        <v>0</v>
      </c>
      <c r="G130" s="53">
        <f>[29]รายการสรุป!$J$7</f>
        <v>499000</v>
      </c>
      <c r="H130" s="52">
        <f t="shared" ref="H130" si="442">J130+K130</f>
        <v>0</v>
      </c>
      <c r="I130" s="52">
        <f t="shared" ref="I130" si="443">H130*100/E130</f>
        <v>0</v>
      </c>
      <c r="J130" s="52">
        <v>0</v>
      </c>
      <c r="K130" s="52">
        <v>0</v>
      </c>
      <c r="L130" s="52">
        <f t="shared" ref="L130" si="444">N130+O130</f>
        <v>0</v>
      </c>
      <c r="M130" s="52">
        <f t="shared" ref="M130" si="445">L130*100/E130</f>
        <v>0</v>
      </c>
      <c r="N130" s="52">
        <v>0</v>
      </c>
      <c r="O130" s="52">
        <v>0</v>
      </c>
      <c r="P130" s="52">
        <f t="shared" ref="P130" si="446">R130+S130</f>
        <v>499000</v>
      </c>
      <c r="Q130" s="52">
        <f t="shared" ref="Q130" si="447">P130*100/E130</f>
        <v>100</v>
      </c>
      <c r="R130" s="52">
        <f t="shared" ref="R130" si="448">F130-J130-N130</f>
        <v>0</v>
      </c>
      <c r="S130" s="52">
        <f t="shared" ref="S130" si="449">G130-K130-O130</f>
        <v>499000</v>
      </c>
    </row>
    <row r="131" spans="1:19" ht="31.5" customHeight="1" x14ac:dyDescent="0.5">
      <c r="A131" s="9"/>
      <c r="B131" s="20" t="s">
        <v>34</v>
      </c>
      <c r="C131" s="20"/>
      <c r="D131" s="23"/>
      <c r="E131" s="21">
        <f>G131+F131</f>
        <v>17028360</v>
      </c>
      <c r="F131" s="22">
        <f>F132+F134+F138+F148+F156</f>
        <v>0</v>
      </c>
      <c r="G131" s="21">
        <f>G132+G134+G138+G148+G156+G133+G158</f>
        <v>17028360</v>
      </c>
      <c r="H131" s="22">
        <f>K131+J131</f>
        <v>12643414.629999999</v>
      </c>
      <c r="I131" s="22">
        <f>H131*100/E131</f>
        <v>74.249162162416113</v>
      </c>
      <c r="J131" s="22">
        <f>J132+J134+J138+J148+J156</f>
        <v>0</v>
      </c>
      <c r="K131" s="22">
        <f>K132+K134+K138+K148+K156+K133+K158</f>
        <v>12643414.629999999</v>
      </c>
      <c r="L131" s="22">
        <f>O131+N131</f>
        <v>0</v>
      </c>
      <c r="M131" s="20"/>
      <c r="N131" s="22">
        <f>N132+N134+N138+N148+N156+N133+N158</f>
        <v>0</v>
      </c>
      <c r="O131" s="22">
        <f>O132+O134+O138+O148+O156+O133+O158</f>
        <v>0</v>
      </c>
      <c r="P131" s="22">
        <f>S131+R131</f>
        <v>4384945.370000001</v>
      </c>
      <c r="Q131" s="21">
        <f>P131*100/E131</f>
        <v>25.750837837583898</v>
      </c>
      <c r="R131" s="22">
        <f>F131-J131-N131</f>
        <v>0</v>
      </c>
      <c r="S131" s="22">
        <f>G131-K131-O131</f>
        <v>4384945.370000001</v>
      </c>
    </row>
    <row r="132" spans="1:19" ht="31.5" customHeight="1" x14ac:dyDescent="0.5">
      <c r="A132" s="9">
        <v>107</v>
      </c>
      <c r="B132" s="11" t="str">
        <f>[30]รายการสรุป!$E$5</f>
        <v>สถานีสูบน้ำด้วยไฟฟ้าพร้อมระบบส่งน้ำบ้านหนองหอย ต.เวียงมอก อ.เถิน จ.ลำปาง</v>
      </c>
      <c r="C132" s="54" t="str">
        <f>[30]รายการสรุป!$I$5</f>
        <v>0700349053420094</v>
      </c>
      <c r="D132" s="57" t="s">
        <v>35</v>
      </c>
      <c r="E132" s="52">
        <f t="shared" ref="E132" si="450">F132+G132</f>
        <v>380000</v>
      </c>
      <c r="F132" s="52">
        <v>0</v>
      </c>
      <c r="G132" s="53">
        <f>[30]รายการสรุป!$J$5</f>
        <v>380000</v>
      </c>
      <c r="H132" s="52">
        <f t="shared" ref="H132:H133" si="451">J132+K132</f>
        <v>375246.05000000005</v>
      </c>
      <c r="I132" s="52">
        <f t="shared" ref="I132" si="452">H132*100/E132</f>
        <v>98.748960526315813</v>
      </c>
      <c r="J132" s="52">
        <v>0</v>
      </c>
      <c r="K132" s="52">
        <f>75269.65+82477.65+8706+79988+9280.1+13677+1280+31740+15939.9+41659.25+8017.1+7211.4</f>
        <v>375246.05000000005</v>
      </c>
      <c r="L132" s="52">
        <f t="shared" ref="L132" si="453">N132+O132</f>
        <v>0</v>
      </c>
      <c r="M132" s="52">
        <f t="shared" ref="M132" si="454">L132*100/E132</f>
        <v>0</v>
      </c>
      <c r="N132" s="52">
        <v>0</v>
      </c>
      <c r="O132" s="52">
        <v>0</v>
      </c>
      <c r="P132" s="52">
        <f t="shared" ref="P132:P134" si="455">R132+S132</f>
        <v>4753.9499999999534</v>
      </c>
      <c r="Q132" s="52">
        <f t="shared" ref="Q132" si="456">P132*100/E132</f>
        <v>1.2510394736841983</v>
      </c>
      <c r="R132" s="52">
        <f t="shared" ref="R132:R134" si="457">F132-J132-N132</f>
        <v>0</v>
      </c>
      <c r="S132" s="52">
        <f t="shared" ref="S132:S134" si="458">G132-K132-O132</f>
        <v>4753.9499999999534</v>
      </c>
    </row>
    <row r="133" spans="1:19" ht="31.5" customHeight="1" x14ac:dyDescent="0.5">
      <c r="A133" s="9">
        <v>108</v>
      </c>
      <c r="B133" s="11" t="str">
        <f>[31]รายการสรุป!$E$5</f>
        <v>แก้มลิงฝายร่องไผ่พร้อมอาคารประกอบ ต.ห้วยแก้ว อ.ภูกามยาว จ.พะเยา</v>
      </c>
      <c r="C133" s="54" t="str">
        <f>[31]รายการสรุป!$I$5</f>
        <v>0700349053420274</v>
      </c>
      <c r="D133" s="57"/>
      <c r="E133" s="52">
        <f t="shared" ref="E133" si="459">F133+G133</f>
        <v>400800</v>
      </c>
      <c r="F133" s="52">
        <v>0</v>
      </c>
      <c r="G133" s="53">
        <f>[31]รายการสรุป!$J$5</f>
        <v>400800</v>
      </c>
      <c r="H133" s="52">
        <f t="shared" si="451"/>
        <v>11600</v>
      </c>
      <c r="I133" s="52">
        <f>H133*100/E133</f>
        <v>2.8942115768463075</v>
      </c>
      <c r="J133" s="52">
        <v>0</v>
      </c>
      <c r="K133" s="52">
        <f>4640+6960</f>
        <v>11600</v>
      </c>
      <c r="L133" s="52">
        <f t="shared" ref="L133" si="460">N133+O133</f>
        <v>0</v>
      </c>
      <c r="M133" s="52">
        <f t="shared" ref="M133" si="461">L133*100/E133</f>
        <v>0</v>
      </c>
      <c r="N133" s="52">
        <v>0</v>
      </c>
      <c r="O133" s="52">
        <v>0</v>
      </c>
      <c r="P133" s="52">
        <f t="shared" ref="P133" si="462">R133+S133</f>
        <v>389200</v>
      </c>
      <c r="Q133" s="52">
        <f t="shared" ref="Q133" si="463">P133*100/E133</f>
        <v>97.105788423153697</v>
      </c>
      <c r="R133" s="52">
        <f t="shared" ref="R133" si="464">F133-J133-N133</f>
        <v>0</v>
      </c>
      <c r="S133" s="52">
        <f t="shared" ref="S133" si="465">G133-K133-O133</f>
        <v>389200</v>
      </c>
    </row>
    <row r="134" spans="1:19" ht="31.5" customHeight="1" x14ac:dyDescent="0.5">
      <c r="A134" s="9"/>
      <c r="B134" s="18" t="s">
        <v>38</v>
      </c>
      <c r="C134" s="18"/>
      <c r="D134" s="24"/>
      <c r="E134" s="19">
        <f>F134+G134</f>
        <v>2999500</v>
      </c>
      <c r="F134" s="19">
        <f>SUM(F135:F137)</f>
        <v>0</v>
      </c>
      <c r="G134" s="19">
        <f>SUM(G135:G137)</f>
        <v>2999500</v>
      </c>
      <c r="H134" s="19">
        <f>J134+K134</f>
        <v>2995653.3599999994</v>
      </c>
      <c r="I134" s="19">
        <f>H134*100/E134</f>
        <v>99.871757292882123</v>
      </c>
      <c r="J134" s="19">
        <f>SUM(J135:J137)</f>
        <v>0</v>
      </c>
      <c r="K134" s="19">
        <f>SUM(K135:K137)</f>
        <v>2995653.3599999994</v>
      </c>
      <c r="L134" s="19">
        <f>N134+O134</f>
        <v>0</v>
      </c>
      <c r="M134" s="19">
        <f>L134*100/E134</f>
        <v>0</v>
      </c>
      <c r="N134" s="19">
        <f>SUM(N135:N137)</f>
        <v>0</v>
      </c>
      <c r="O134" s="19">
        <f>SUM(O135:O137)</f>
        <v>0</v>
      </c>
      <c r="P134" s="19">
        <f t="shared" si="455"/>
        <v>3846.640000000596</v>
      </c>
      <c r="Q134" s="19">
        <f>P134*100/E134</f>
        <v>0.12824270711787283</v>
      </c>
      <c r="R134" s="19">
        <f t="shared" si="457"/>
        <v>0</v>
      </c>
      <c r="S134" s="19">
        <f t="shared" si="458"/>
        <v>3846.640000000596</v>
      </c>
    </row>
    <row r="135" spans="1:19" ht="31.5" customHeight="1" x14ac:dyDescent="0.5">
      <c r="A135" s="9">
        <v>109</v>
      </c>
      <c r="B135" s="11" t="str">
        <f>[32]รายการสรุป!$E$5</f>
        <v>อ่างเก็บน้ำน้ำกิ จ.น่าน(ถนนเข้าหัวงาน 8.00กม.)</v>
      </c>
      <c r="C135" s="54" t="str">
        <f>[32]รายการสรุป!$I$5</f>
        <v>0700349053420195</v>
      </c>
      <c r="D135" s="57" t="s">
        <v>23</v>
      </c>
      <c r="E135" s="52">
        <f t="shared" ref="E135" si="466">F135+G135</f>
        <v>1143800</v>
      </c>
      <c r="F135" s="52">
        <v>0</v>
      </c>
      <c r="G135" s="53">
        <f>[32]รายการสรุป!$J$5</f>
        <v>1143800</v>
      </c>
      <c r="H135" s="52">
        <f t="shared" ref="H135" si="467">J135+K135</f>
        <v>1140122</v>
      </c>
      <c r="I135" s="52">
        <f t="shared" ref="I135" si="468">H135*100/E135</f>
        <v>99.678440286763418</v>
      </c>
      <c r="J135" s="52">
        <v>0</v>
      </c>
      <c r="K135" s="52">
        <f>186124+60456+60499+185069+120912+15234+90720+11980+28600+150765+113960+71403+44400</f>
        <v>1140122</v>
      </c>
      <c r="L135" s="52">
        <f t="shared" ref="L135" si="469">N135+O135</f>
        <v>0</v>
      </c>
      <c r="M135" s="52">
        <f t="shared" ref="M135" si="470">L135*100/E135</f>
        <v>0</v>
      </c>
      <c r="N135" s="52">
        <v>0</v>
      </c>
      <c r="O135" s="52">
        <v>0</v>
      </c>
      <c r="P135" s="52">
        <f t="shared" ref="P135" si="471">R135+S135</f>
        <v>3678</v>
      </c>
      <c r="Q135" s="52">
        <f t="shared" ref="Q135" si="472">P135*100/E135</f>
        <v>0.32155971323657984</v>
      </c>
      <c r="R135" s="52">
        <f t="shared" ref="R135" si="473">F135-J135-N135</f>
        <v>0</v>
      </c>
      <c r="S135" s="52">
        <f t="shared" ref="S135" si="474">G135-K135-O135</f>
        <v>3678</v>
      </c>
    </row>
    <row r="136" spans="1:19" ht="45.75" customHeight="1" x14ac:dyDescent="0.5">
      <c r="A136" s="9">
        <v>110</v>
      </c>
      <c r="B136" s="11" t="str">
        <f>[32]รายการสรุป!$E$6</f>
        <v>ระบบส่งน้ำและอาคารประกอบโครงการระบายน้ำแม่พริก(ผาวิ่งชู้) ต.แม่พริก อ.แม่พริก จ.ลำปาง(ระบบชลประทานและอาคารประกอบ)</v>
      </c>
      <c r="C136" s="54" t="str">
        <f>[32]รายการสรุป!$I$6</f>
        <v>0700349053420195</v>
      </c>
      <c r="D136" s="57" t="s">
        <v>23</v>
      </c>
      <c r="E136" s="52">
        <f t="shared" ref="E136:E137" si="475">F136+G136</f>
        <v>1300100</v>
      </c>
      <c r="F136" s="52">
        <v>0</v>
      </c>
      <c r="G136" s="53">
        <f>[33]รายการสรุป!$J$6</f>
        <v>1300100</v>
      </c>
      <c r="H136" s="52">
        <f t="shared" ref="H136:H137" si="476">J136+K136</f>
        <v>1299931.5599999998</v>
      </c>
      <c r="I136" s="52">
        <f t="shared" ref="I136:I137" si="477">H136*100/E136</f>
        <v>99.9870440735328</v>
      </c>
      <c r="J136" s="52">
        <v>0</v>
      </c>
      <c r="K136" s="52">
        <f>160320.6+149160+17989.06+303408+157300+158697+196005.9+138380+6900+6900+4871</f>
        <v>1299931.5599999998</v>
      </c>
      <c r="L136" s="52">
        <f t="shared" ref="L136:L137" si="478">N136+O136</f>
        <v>0</v>
      </c>
      <c r="M136" s="52">
        <f t="shared" ref="M136:M137" si="479">L136*100/E136</f>
        <v>0</v>
      </c>
      <c r="N136" s="52">
        <v>0</v>
      </c>
      <c r="O136" s="52">
        <v>0</v>
      </c>
      <c r="P136" s="52">
        <f t="shared" ref="P136:P138" si="480">R136+S136</f>
        <v>168.44000000017695</v>
      </c>
      <c r="Q136" s="52">
        <f t="shared" ref="Q136:Q137" si="481">P136*100/E136</f>
        <v>1.2955926467208442E-2</v>
      </c>
      <c r="R136" s="52">
        <f t="shared" ref="R136:R138" si="482">F136-J136-N136</f>
        <v>0</v>
      </c>
      <c r="S136" s="52">
        <f t="shared" ref="S136:S138" si="483">G136-K136-O136</f>
        <v>168.44000000017695</v>
      </c>
    </row>
    <row r="137" spans="1:19" ht="50.25" customHeight="1" x14ac:dyDescent="0.5">
      <c r="A137" s="9">
        <v>111</v>
      </c>
      <c r="B137" s="11" t="str">
        <f>[32]รายการสรุป!$E$7</f>
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</c>
      <c r="C137" s="54" t="str">
        <f>[32]รายการสรุป!$I$7</f>
        <v>0700349053420195</v>
      </c>
      <c r="D137" s="57" t="s">
        <v>23</v>
      </c>
      <c r="E137" s="52">
        <f t="shared" si="475"/>
        <v>555600</v>
      </c>
      <c r="F137" s="52">
        <v>0</v>
      </c>
      <c r="G137" s="53">
        <f>[32]รายการสรุป!$J$7</f>
        <v>555600</v>
      </c>
      <c r="H137" s="52">
        <f t="shared" si="476"/>
        <v>555599.80000000005</v>
      </c>
      <c r="I137" s="52">
        <f t="shared" si="477"/>
        <v>99.999964002879778</v>
      </c>
      <c r="J137" s="52">
        <v>0</v>
      </c>
      <c r="K137" s="52">
        <f>210201.5+69524.4+62250+82777.6+74814.3+12695+20700+20700+1937</f>
        <v>555599.80000000005</v>
      </c>
      <c r="L137" s="52">
        <f t="shared" si="478"/>
        <v>0</v>
      </c>
      <c r="M137" s="52">
        <f t="shared" si="479"/>
        <v>0</v>
      </c>
      <c r="N137" s="52">
        <v>0</v>
      </c>
      <c r="O137" s="52">
        <v>0</v>
      </c>
      <c r="P137" s="52">
        <f t="shared" si="480"/>
        <v>0.19999999995343387</v>
      </c>
      <c r="Q137" s="52">
        <f t="shared" si="481"/>
        <v>3.5997120222000338E-5</v>
      </c>
      <c r="R137" s="52">
        <f t="shared" si="482"/>
        <v>0</v>
      </c>
      <c r="S137" s="52">
        <f t="shared" si="483"/>
        <v>0.19999999995343387</v>
      </c>
    </row>
    <row r="138" spans="1:19" ht="31.5" customHeight="1" x14ac:dyDescent="0.5">
      <c r="A138" s="9"/>
      <c r="B138" s="18" t="s">
        <v>39</v>
      </c>
      <c r="C138" s="18"/>
      <c r="D138" s="24"/>
      <c r="E138" s="19">
        <f>F138+G138</f>
        <v>5385060</v>
      </c>
      <c r="F138" s="19">
        <f>SUM(F139:F147)</f>
        <v>0</v>
      </c>
      <c r="G138" s="19">
        <f>SUM(G139:G147)</f>
        <v>5385060</v>
      </c>
      <c r="H138" s="19">
        <f>J138+K138</f>
        <v>3284809.9299999997</v>
      </c>
      <c r="I138" s="19">
        <f>H138*100/E138</f>
        <v>60.998576246132821</v>
      </c>
      <c r="J138" s="19">
        <f>SUM(J139:J147)</f>
        <v>0</v>
      </c>
      <c r="K138" s="19">
        <f>SUM(K139:K147)</f>
        <v>3284809.9299999997</v>
      </c>
      <c r="L138" s="19">
        <f>N138+O138</f>
        <v>0</v>
      </c>
      <c r="M138" s="19">
        <f>L138*100/E138</f>
        <v>0</v>
      </c>
      <c r="N138" s="19">
        <f>SUM(N139:N147)</f>
        <v>0</v>
      </c>
      <c r="O138" s="19">
        <f>SUM(O139:O147)</f>
        <v>0</v>
      </c>
      <c r="P138" s="19">
        <f t="shared" si="480"/>
        <v>2100250.0700000003</v>
      </c>
      <c r="Q138" s="19">
        <f>P138*100/E138</f>
        <v>39.001423753867186</v>
      </c>
      <c r="R138" s="19">
        <f t="shared" si="482"/>
        <v>0</v>
      </c>
      <c r="S138" s="19">
        <f t="shared" si="483"/>
        <v>2100250.0700000003</v>
      </c>
    </row>
    <row r="139" spans="1:19" ht="31.5" customHeight="1" x14ac:dyDescent="0.5">
      <c r="A139" s="9">
        <v>112</v>
      </c>
      <c r="B139" s="11" t="str">
        <f>[34]รายการสรุป!$E$5</f>
        <v>อ่างเก็บน้ำน้ำกิ จ.น่าน(ถนนเข้าหัวงาน 8.00กม.)</v>
      </c>
      <c r="C139" s="54" t="str">
        <f>[34]รายการสรุป!$I$5</f>
        <v>0700349053420194</v>
      </c>
      <c r="D139" s="57" t="s">
        <v>23</v>
      </c>
      <c r="E139" s="52">
        <f t="shared" ref="E139" si="484">F139+G139</f>
        <v>518560</v>
      </c>
      <c r="F139" s="52">
        <v>0</v>
      </c>
      <c r="G139" s="53">
        <f>[34]รายการสรุป!$J$5</f>
        <v>518560</v>
      </c>
      <c r="H139" s="52">
        <f t="shared" ref="H139" si="485">J139+K139</f>
        <v>206983.3</v>
      </c>
      <c r="I139" s="52">
        <f t="shared" ref="I139" si="486">H139*100/E139</f>
        <v>39.915014655970381</v>
      </c>
      <c r="J139" s="52">
        <v>0</v>
      </c>
      <c r="K139" s="52">
        <f>16660.7+55545+68885.6+12993+52899</f>
        <v>206983.3</v>
      </c>
      <c r="L139" s="52">
        <f t="shared" ref="L139" si="487">N139+O139</f>
        <v>0</v>
      </c>
      <c r="M139" s="52">
        <f t="shared" ref="M139" si="488">L139*100/E139</f>
        <v>0</v>
      </c>
      <c r="N139" s="52">
        <v>0</v>
      </c>
      <c r="O139" s="52">
        <v>0</v>
      </c>
      <c r="P139" s="52">
        <f t="shared" ref="P139" si="489">R139+S139</f>
        <v>311576.7</v>
      </c>
      <c r="Q139" s="52">
        <f t="shared" ref="Q139" si="490">P139*100/E139</f>
        <v>60.084985344029619</v>
      </c>
      <c r="R139" s="52">
        <f t="shared" ref="R139" si="491">F139-J139-N139</f>
        <v>0</v>
      </c>
      <c r="S139" s="52">
        <f t="shared" ref="S139" si="492">G139-K139-O139</f>
        <v>311576.7</v>
      </c>
    </row>
    <row r="140" spans="1:19" ht="48.75" customHeight="1" x14ac:dyDescent="0.5">
      <c r="A140" s="9">
        <v>113</v>
      </c>
      <c r="B140" s="11" t="str">
        <f>[34]รายการสรุป!$E$6</f>
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</c>
      <c r="C140" s="54" t="str">
        <f>[34]รายการสรุป!$I$6</f>
        <v>0700349053420194</v>
      </c>
      <c r="D140" s="57" t="s">
        <v>23</v>
      </c>
      <c r="E140" s="52">
        <f t="shared" ref="E140:E142" si="493">F140+G140</f>
        <v>1597700</v>
      </c>
      <c r="F140" s="52">
        <v>0</v>
      </c>
      <c r="G140" s="53">
        <f>[34]รายการสรุป!$J$6</f>
        <v>1597700</v>
      </c>
      <c r="H140" s="52">
        <f t="shared" ref="H140:H142" si="494">J140+K140</f>
        <v>1112153.7</v>
      </c>
      <c r="I140" s="52">
        <f t="shared" ref="I140:I142" si="495">H140*100/E140</f>
        <v>69.609670150841836</v>
      </c>
      <c r="J140" s="52">
        <v>0</v>
      </c>
      <c r="K140" s="52">
        <f>79696.8+193670+484300+15000+83520+143600+112366.9</f>
        <v>1112153.7</v>
      </c>
      <c r="L140" s="52">
        <f t="shared" ref="L140:L142" si="496">N140+O140</f>
        <v>0</v>
      </c>
      <c r="M140" s="52">
        <f t="shared" ref="M140:M142" si="497">L140*100/E140</f>
        <v>0</v>
      </c>
      <c r="N140" s="52">
        <v>0</v>
      </c>
      <c r="O140" s="52">
        <v>0</v>
      </c>
      <c r="P140" s="52">
        <f t="shared" ref="P140:P148" si="498">R140+S140</f>
        <v>485546.30000000005</v>
      </c>
      <c r="Q140" s="52">
        <f t="shared" ref="Q140:Q142" si="499">P140*100/E140</f>
        <v>30.390329849158171</v>
      </c>
      <c r="R140" s="52">
        <f t="shared" ref="R140:R148" si="500">F140-J140-N140</f>
        <v>0</v>
      </c>
      <c r="S140" s="52">
        <f t="shared" ref="S140:S148" si="501">G140-K140-O140</f>
        <v>485546.30000000005</v>
      </c>
    </row>
    <row r="141" spans="1:19" ht="49.5" customHeight="1" x14ac:dyDescent="0.5">
      <c r="A141" s="9">
        <v>114</v>
      </c>
      <c r="B141" s="11" t="str">
        <f>[34]รายการสรุป!$E$7</f>
        <v>อ่างเก็บน้ำแม่เมาะ อันเนื่องมาจากพระราชดำริ ต.ปง อ.ปง จ.พะเยา(หัวงานและอาคารประกอบอาคารที่ทำการและบ้านพัก สำรวจปฐพีแหล่งวัสดุ)</v>
      </c>
      <c r="C141" s="54" t="str">
        <f>[34]รายการสรุป!$I$7</f>
        <v>0700349053420194</v>
      </c>
      <c r="D141" s="57" t="s">
        <v>23</v>
      </c>
      <c r="E141" s="52">
        <f t="shared" si="493"/>
        <v>1925700</v>
      </c>
      <c r="F141" s="52">
        <v>0</v>
      </c>
      <c r="G141" s="53">
        <f>[34]รายการสรุป!$J$7</f>
        <v>1925700</v>
      </c>
      <c r="H141" s="52">
        <f t="shared" si="494"/>
        <v>747502.4</v>
      </c>
      <c r="I141" s="52">
        <f t="shared" si="495"/>
        <v>38.817178168977513</v>
      </c>
      <c r="J141" s="52">
        <v>0</v>
      </c>
      <c r="K141" s="52">
        <f>68758.65+118200+69678+41659.25+34006.5+415200</f>
        <v>747502.4</v>
      </c>
      <c r="L141" s="52">
        <f t="shared" si="496"/>
        <v>0</v>
      </c>
      <c r="M141" s="52">
        <f t="shared" si="497"/>
        <v>0</v>
      </c>
      <c r="N141" s="52">
        <v>0</v>
      </c>
      <c r="O141" s="52">
        <v>0</v>
      </c>
      <c r="P141" s="52">
        <f t="shared" si="498"/>
        <v>1178197.6000000001</v>
      </c>
      <c r="Q141" s="52">
        <f t="shared" si="499"/>
        <v>61.182821831022494</v>
      </c>
      <c r="R141" s="52">
        <f t="shared" si="500"/>
        <v>0</v>
      </c>
      <c r="S141" s="52">
        <f t="shared" si="501"/>
        <v>1178197.6000000001</v>
      </c>
    </row>
    <row r="142" spans="1:19" ht="31.5" customHeight="1" x14ac:dyDescent="0.5">
      <c r="A142" s="9">
        <v>115</v>
      </c>
      <c r="B142" s="11" t="str">
        <f>[34]รายการสรุป!$E$8</f>
        <v>อ่างเก็บน้ำห้วยแหน ต.ป่าตัน อ.แม่ทะ จ.ลำปาง</v>
      </c>
      <c r="C142" s="54" t="str">
        <f>[34]รายการสรุป!$I$8</f>
        <v>0700349053420194</v>
      </c>
      <c r="D142" s="57" t="s">
        <v>40</v>
      </c>
      <c r="E142" s="52">
        <f t="shared" si="493"/>
        <v>814500</v>
      </c>
      <c r="F142" s="52">
        <v>0</v>
      </c>
      <c r="G142" s="53">
        <f>[34]รายการสรุป!$J$8</f>
        <v>814500</v>
      </c>
      <c r="H142" s="52">
        <f t="shared" si="494"/>
        <v>690676.75</v>
      </c>
      <c r="I142" s="52">
        <f t="shared" si="495"/>
        <v>84.797636586863106</v>
      </c>
      <c r="J142" s="52">
        <v>0</v>
      </c>
      <c r="K142" s="52">
        <f>6400+119405+78362.7+4680+3798+24995.55+227960+18136.8+5061+27376.65+24736.8+1480+23805+23836.8+4326+2560+58322.95+4784+30649.5</f>
        <v>690676.75</v>
      </c>
      <c r="L142" s="52">
        <f t="shared" si="496"/>
        <v>0</v>
      </c>
      <c r="M142" s="52">
        <f t="shared" si="497"/>
        <v>0</v>
      </c>
      <c r="N142" s="52">
        <v>0</v>
      </c>
      <c r="O142" s="52">
        <v>0</v>
      </c>
      <c r="P142" s="52">
        <f t="shared" si="498"/>
        <v>123823.25</v>
      </c>
      <c r="Q142" s="52">
        <f t="shared" si="499"/>
        <v>15.202363413136894</v>
      </c>
      <c r="R142" s="52">
        <f t="shared" si="500"/>
        <v>0</v>
      </c>
      <c r="S142" s="52">
        <f t="shared" si="501"/>
        <v>123823.25</v>
      </c>
    </row>
    <row r="143" spans="1:19" ht="31.5" customHeight="1" x14ac:dyDescent="0.5">
      <c r="A143" s="9">
        <v>116</v>
      </c>
      <c r="B143" s="11" t="str">
        <f>[35]รายการสรุป!$E$9</f>
        <v>อ่างเก็บน้ำห้วยเดื่ออันเนื่องมาจากพระราชดำริ ต.บ้านแลง อ.เมือง จ.ลำปาง</v>
      </c>
      <c r="C143" s="54" t="str">
        <f>[35]รายการสรุป!$I$9</f>
        <v>0700349053420194</v>
      </c>
      <c r="D143" s="57" t="s">
        <v>23</v>
      </c>
      <c r="E143" s="52">
        <f t="shared" ref="E143" si="502">F143+G143</f>
        <v>86000</v>
      </c>
      <c r="F143" s="52">
        <v>0</v>
      </c>
      <c r="G143" s="53">
        <f>[35]รายการสรุป!$J$9</f>
        <v>86000</v>
      </c>
      <c r="H143" s="52">
        <f t="shared" ref="H143" si="503">J143+K143</f>
        <v>86000</v>
      </c>
      <c r="I143" s="52">
        <f t="shared" ref="I143" si="504">H143*100/E143</f>
        <v>100</v>
      </c>
      <c r="J143" s="52">
        <v>0</v>
      </c>
      <c r="K143" s="52">
        <f>9000+77000</f>
        <v>86000</v>
      </c>
      <c r="L143" s="52">
        <f t="shared" ref="L143" si="505">N143+O143</f>
        <v>0</v>
      </c>
      <c r="M143" s="52">
        <f t="shared" ref="M143" si="506">L143*100/E143</f>
        <v>0</v>
      </c>
      <c r="N143" s="52">
        <v>0</v>
      </c>
      <c r="O143" s="52">
        <v>0</v>
      </c>
      <c r="P143" s="52">
        <f t="shared" ref="P143" si="507">R143+S143</f>
        <v>0</v>
      </c>
      <c r="Q143" s="52">
        <f t="shared" ref="Q143" si="508">P143*100/E143</f>
        <v>0</v>
      </c>
      <c r="R143" s="52">
        <f t="shared" ref="R143" si="509">F143-J143-N143</f>
        <v>0</v>
      </c>
      <c r="S143" s="52">
        <f t="shared" ref="S143" si="510">G143-K143-O143</f>
        <v>0</v>
      </c>
    </row>
    <row r="144" spans="1:19" ht="31.5" customHeight="1" x14ac:dyDescent="0.5">
      <c r="A144" s="9">
        <v>117</v>
      </c>
      <c r="B144" s="11" t="str">
        <f>[35]รายการสรุป!$E$10</f>
        <v>อ่างเก็บน้ำแม่ยอนตอนบนอันเนื่องมาจากพระราชดำริ ต.สันดอนแก้ว อ.แม่ทะ จ.ลำปาง</v>
      </c>
      <c r="C144" s="54" t="str">
        <f>[35]รายการสรุป!$I$9</f>
        <v>0700349053420194</v>
      </c>
      <c r="D144" s="57" t="s">
        <v>23</v>
      </c>
      <c r="E144" s="52">
        <f t="shared" ref="E144:E147" si="511">F144+G144</f>
        <v>92000</v>
      </c>
      <c r="F144" s="52">
        <v>0</v>
      </c>
      <c r="G144" s="53">
        <f>[35]รายการสรุป!$J$10</f>
        <v>92000</v>
      </c>
      <c r="H144" s="52">
        <f t="shared" ref="H144:H147" si="512">J144+K144</f>
        <v>92000</v>
      </c>
      <c r="I144" s="52">
        <f t="shared" ref="I144:I147" si="513">H144*100/E144</f>
        <v>100</v>
      </c>
      <c r="J144" s="52">
        <v>0</v>
      </c>
      <c r="K144" s="52">
        <f>9000+83000</f>
        <v>92000</v>
      </c>
      <c r="L144" s="52">
        <f t="shared" ref="L144:L147" si="514">N144+O144</f>
        <v>0</v>
      </c>
      <c r="M144" s="52">
        <f t="shared" ref="M144:M147" si="515">L144*100/E144</f>
        <v>0</v>
      </c>
      <c r="N144" s="52">
        <v>0</v>
      </c>
      <c r="O144" s="52">
        <v>0</v>
      </c>
      <c r="P144" s="52">
        <f t="shared" ref="P144:P147" si="516">R144+S144</f>
        <v>0</v>
      </c>
      <c r="Q144" s="52">
        <f t="shared" ref="Q144:Q147" si="517">P144*100/E144</f>
        <v>0</v>
      </c>
      <c r="R144" s="52">
        <f t="shared" ref="R144:R147" si="518">F144-J144-N144</f>
        <v>0</v>
      </c>
      <c r="S144" s="52">
        <f t="shared" ref="S144:S147" si="519">G144-K144-O144</f>
        <v>0</v>
      </c>
    </row>
    <row r="145" spans="1:19" ht="31.5" customHeight="1" x14ac:dyDescent="0.5">
      <c r="A145" s="9">
        <v>118</v>
      </c>
      <c r="B145" s="11" t="str">
        <f>[35]รายการสรุป!$E$11</f>
        <v>อ่างเก็บน้ำห้วยขี้เหล็กอันเนื่องมาจากพระราชดำริ ต.ครั่ง อ.เชียงของ จ.เชียงราย</v>
      </c>
      <c r="C145" s="54" t="str">
        <f>[35]รายการสรุป!$I$9</f>
        <v>0700349053420194</v>
      </c>
      <c r="D145" s="57" t="s">
        <v>23</v>
      </c>
      <c r="E145" s="52">
        <f t="shared" si="511"/>
        <v>92400</v>
      </c>
      <c r="F145" s="52">
        <v>0</v>
      </c>
      <c r="G145" s="53">
        <f>[35]รายการสรุป!$J$11</f>
        <v>92400</v>
      </c>
      <c r="H145" s="52">
        <f t="shared" si="512"/>
        <v>91500</v>
      </c>
      <c r="I145" s="52">
        <f t="shared" si="513"/>
        <v>99.025974025974023</v>
      </c>
      <c r="J145" s="52">
        <v>0</v>
      </c>
      <c r="K145" s="52">
        <f>9000+82500</f>
        <v>91500</v>
      </c>
      <c r="L145" s="52">
        <f t="shared" si="514"/>
        <v>0</v>
      </c>
      <c r="M145" s="52">
        <f t="shared" si="515"/>
        <v>0</v>
      </c>
      <c r="N145" s="52">
        <v>0</v>
      </c>
      <c r="O145" s="52">
        <v>0</v>
      </c>
      <c r="P145" s="52">
        <f t="shared" si="516"/>
        <v>900</v>
      </c>
      <c r="Q145" s="52">
        <f t="shared" si="517"/>
        <v>0.97402597402597402</v>
      </c>
      <c r="R145" s="52">
        <f t="shared" si="518"/>
        <v>0</v>
      </c>
      <c r="S145" s="52">
        <f t="shared" si="519"/>
        <v>900</v>
      </c>
    </row>
    <row r="146" spans="1:19" ht="31.5" customHeight="1" x14ac:dyDescent="0.5">
      <c r="A146" s="9">
        <v>119</v>
      </c>
      <c r="B146" s="11" t="str">
        <f>[35]รายการสรุป!$E$12</f>
        <v>อ่างเก็บน้ำแม่ทานอันเนื่องมาจากพระราชดำริ ต.แม่ทะ อ.สบปราบ จ.ลำปาง</v>
      </c>
      <c r="C146" s="54" t="str">
        <f>[35]รายการสรุป!$I$9</f>
        <v>0700349053420194</v>
      </c>
      <c r="D146" s="57" t="s">
        <v>23</v>
      </c>
      <c r="E146" s="52">
        <f t="shared" si="511"/>
        <v>153900</v>
      </c>
      <c r="F146" s="52">
        <v>0</v>
      </c>
      <c r="G146" s="53">
        <f>[35]รายการสรุป!$J$12</f>
        <v>153900</v>
      </c>
      <c r="H146" s="52">
        <f t="shared" si="512"/>
        <v>153800</v>
      </c>
      <c r="I146" s="52">
        <f t="shared" si="513"/>
        <v>99.935022742040289</v>
      </c>
      <c r="J146" s="52">
        <v>0</v>
      </c>
      <c r="K146" s="52">
        <f>9000+94800+50000</f>
        <v>153800</v>
      </c>
      <c r="L146" s="52">
        <f t="shared" si="514"/>
        <v>0</v>
      </c>
      <c r="M146" s="52">
        <f t="shared" si="515"/>
        <v>0</v>
      </c>
      <c r="N146" s="52">
        <v>0</v>
      </c>
      <c r="O146" s="52">
        <v>0</v>
      </c>
      <c r="P146" s="52">
        <f t="shared" si="516"/>
        <v>100</v>
      </c>
      <c r="Q146" s="52">
        <f t="shared" si="517"/>
        <v>6.4977257959714096E-2</v>
      </c>
      <c r="R146" s="52">
        <f t="shared" si="518"/>
        <v>0</v>
      </c>
      <c r="S146" s="52">
        <f t="shared" si="519"/>
        <v>100</v>
      </c>
    </row>
    <row r="147" spans="1:19" ht="31.5" customHeight="1" x14ac:dyDescent="0.5">
      <c r="A147" s="9">
        <v>120</v>
      </c>
      <c r="B147" s="11" t="str">
        <f>[35]รายการสรุป!$E$13</f>
        <v>อ่างเก็บน้ำบ้านแม่แก่ง ต.แม่ถอด อ.เถิน จ.ลำปาง</v>
      </c>
      <c r="C147" s="54" t="str">
        <f>[35]รายการสรุป!$I$9</f>
        <v>0700349053420194</v>
      </c>
      <c r="D147" s="57" t="s">
        <v>23</v>
      </c>
      <c r="E147" s="52">
        <f t="shared" si="511"/>
        <v>104300</v>
      </c>
      <c r="F147" s="52">
        <v>0</v>
      </c>
      <c r="G147" s="53">
        <f>[35]รายการสรุป!$J$13</f>
        <v>104300</v>
      </c>
      <c r="H147" s="52">
        <f t="shared" si="512"/>
        <v>104193.78</v>
      </c>
      <c r="I147" s="52">
        <f t="shared" si="513"/>
        <v>99.898159156279959</v>
      </c>
      <c r="J147" s="52">
        <v>0</v>
      </c>
      <c r="K147" s="52">
        <f>8993.78+95200</f>
        <v>104193.78</v>
      </c>
      <c r="L147" s="52">
        <f t="shared" si="514"/>
        <v>0</v>
      </c>
      <c r="M147" s="52">
        <f t="shared" si="515"/>
        <v>0</v>
      </c>
      <c r="N147" s="52">
        <v>0</v>
      </c>
      <c r="O147" s="52">
        <v>0</v>
      </c>
      <c r="P147" s="52">
        <f t="shared" si="516"/>
        <v>106.22000000000116</v>
      </c>
      <c r="Q147" s="52">
        <f t="shared" si="517"/>
        <v>0.10184084372003947</v>
      </c>
      <c r="R147" s="52">
        <f t="shared" si="518"/>
        <v>0</v>
      </c>
      <c r="S147" s="52">
        <f t="shared" si="519"/>
        <v>106.22000000000116</v>
      </c>
    </row>
    <row r="148" spans="1:19" ht="31.5" customHeight="1" x14ac:dyDescent="0.5">
      <c r="A148" s="9"/>
      <c r="B148" s="18" t="s">
        <v>43</v>
      </c>
      <c r="C148" s="18"/>
      <c r="D148" s="24"/>
      <c r="E148" s="19">
        <f>F148+G148</f>
        <v>4316700</v>
      </c>
      <c r="F148" s="19">
        <f>SUM(F149:F153)</f>
        <v>0</v>
      </c>
      <c r="G148" s="19">
        <f>SUM(G149:G155)</f>
        <v>4316700</v>
      </c>
      <c r="H148" s="19">
        <f>J148+K148</f>
        <v>4029337.09</v>
      </c>
      <c r="I148" s="19">
        <f>H148*100/E148</f>
        <v>93.342995575323741</v>
      </c>
      <c r="J148" s="19">
        <f>SUM(J149:J151)</f>
        <v>0</v>
      </c>
      <c r="K148" s="19">
        <f>SUM(K149:K155)</f>
        <v>4029337.09</v>
      </c>
      <c r="L148" s="19">
        <f>N148+O148</f>
        <v>0</v>
      </c>
      <c r="M148" s="19">
        <f>L148*100/E148</f>
        <v>0</v>
      </c>
      <c r="N148" s="19">
        <f>SUM(N149:N151)</f>
        <v>0</v>
      </c>
      <c r="O148" s="19">
        <f>SUM(O149:O153)</f>
        <v>0</v>
      </c>
      <c r="P148" s="19">
        <f t="shared" si="498"/>
        <v>287362.91000000015</v>
      </c>
      <c r="Q148" s="19">
        <f>P148*100/E148</f>
        <v>6.657004424676261</v>
      </c>
      <c r="R148" s="19">
        <f t="shared" si="500"/>
        <v>0</v>
      </c>
      <c r="S148" s="19">
        <f t="shared" si="501"/>
        <v>287362.91000000015</v>
      </c>
    </row>
    <row r="149" spans="1:19" ht="31.5" customHeight="1" x14ac:dyDescent="0.5">
      <c r="A149" s="9">
        <v>121</v>
      </c>
      <c r="B149" s="11" t="str">
        <f>[36]รายการสรุป!$E$5</f>
        <v>โครงการอ่างเก็บน้ำแม่พริก(ผาวิ่งชู้) จ.ลำปาง(งานปักหลักเขตชลประทาน)</v>
      </c>
      <c r="C149" s="54" t="str">
        <f>[37]รายการสรุป!$I$5</f>
        <v>0700349053200046</v>
      </c>
      <c r="D149" s="57" t="s">
        <v>44</v>
      </c>
      <c r="E149" s="52">
        <f t="shared" ref="E149" si="520">F149+G149</f>
        <v>342100</v>
      </c>
      <c r="F149" s="52">
        <v>0</v>
      </c>
      <c r="G149" s="53">
        <f>[36]รายการสรุป!$J$5</f>
        <v>342100</v>
      </c>
      <c r="H149" s="52">
        <f t="shared" ref="H149" si="521">J149+K149</f>
        <v>339686.65</v>
      </c>
      <c r="I149" s="52">
        <f t="shared" ref="I149" si="522">H149*100/E149</f>
        <v>99.294548377667354</v>
      </c>
      <c r="J149" s="52">
        <v>0</v>
      </c>
      <c r="K149" s="52">
        <f>167968.65+105798+65920</f>
        <v>339686.65</v>
      </c>
      <c r="L149" s="52">
        <f t="shared" ref="L149" si="523">N149+O149</f>
        <v>0</v>
      </c>
      <c r="M149" s="52">
        <f t="shared" ref="M149" si="524">L149*100/E149</f>
        <v>0</v>
      </c>
      <c r="N149" s="52">
        <v>0</v>
      </c>
      <c r="O149" s="52">
        <v>0</v>
      </c>
      <c r="P149" s="52">
        <f t="shared" ref="P149" si="525">R149+S149</f>
        <v>2413.3499999999767</v>
      </c>
      <c r="Q149" s="52">
        <f t="shared" ref="Q149" si="526">P149*100/E149</f>
        <v>0.70545162233264447</v>
      </c>
      <c r="R149" s="52">
        <f t="shared" ref="R149" si="527">F149-J149-N149</f>
        <v>0</v>
      </c>
      <c r="S149" s="52">
        <f t="shared" ref="S149" si="528">G149-K149-O149</f>
        <v>2413.3499999999767</v>
      </c>
    </row>
    <row r="150" spans="1:19" ht="31.5" customHeight="1" x14ac:dyDescent="0.5">
      <c r="A150" s="9">
        <v>122</v>
      </c>
      <c r="B150" s="11" t="str">
        <f>[36]รายการสรุป!$E$6</f>
        <v>โครงการส่งน้ำและบำรุงรักษากิ่วลม-กิ่งคอหมา จ.ลำปาง(งานซ่อมเขตชลประทาน)</v>
      </c>
      <c r="C150" s="54" t="str">
        <f>[37]รายการสรุป!$I$6</f>
        <v>0700349053200046</v>
      </c>
      <c r="D150" s="57" t="s">
        <v>44</v>
      </c>
      <c r="E150" s="52">
        <f t="shared" ref="E150:E151" si="529">F150+G150</f>
        <v>1602000</v>
      </c>
      <c r="F150" s="52">
        <v>0</v>
      </c>
      <c r="G150" s="53">
        <f>[36]รายการสรุป!$J$6</f>
        <v>1602000</v>
      </c>
      <c r="H150" s="52">
        <f t="shared" ref="H150" si="530">J150+K150</f>
        <v>1597986</v>
      </c>
      <c r="I150" s="52">
        <f t="shared" ref="I150" si="531">H150*100/E150</f>
        <v>99.749438202247191</v>
      </c>
      <c r="J150" s="52">
        <v>0</v>
      </c>
      <c r="K150" s="52">
        <f>90212.5+29600+378986.1+30975.8+173600+241824+15620+12703+28365+120320+288731.6+181368+5680</f>
        <v>1597986</v>
      </c>
      <c r="L150" s="52">
        <f t="shared" ref="L150:L151" si="532">N150+O150</f>
        <v>0</v>
      </c>
      <c r="M150" s="52">
        <f t="shared" ref="M150:M151" si="533">L150*100/E150</f>
        <v>0</v>
      </c>
      <c r="N150" s="52">
        <v>0</v>
      </c>
      <c r="O150" s="52">
        <v>0</v>
      </c>
      <c r="P150" s="52">
        <f t="shared" ref="P150:P156" si="534">R150+S150</f>
        <v>4014</v>
      </c>
      <c r="Q150" s="52">
        <f t="shared" ref="Q150:Q151" si="535">P150*100/E150</f>
        <v>0.25056179775280901</v>
      </c>
      <c r="R150" s="52">
        <f t="shared" ref="R150:R156" si="536">F150-J150-N150</f>
        <v>0</v>
      </c>
      <c r="S150" s="52">
        <f t="shared" ref="S150:S156" si="537">G150-K150-O150</f>
        <v>4014</v>
      </c>
    </row>
    <row r="151" spans="1:19" ht="31.5" customHeight="1" x14ac:dyDescent="0.5">
      <c r="A151" s="9">
        <v>123</v>
      </c>
      <c r="B151" s="11" t="str">
        <f>[36]รายการสรุป!$E$7</f>
        <v>โครงการชลประทานเชียงราย(โครงการพัฒนาเกษตรแม่สาย) จ.เชียงราย(งานซ่อมเขตชลประทาน)</v>
      </c>
      <c r="C151" s="54" t="str">
        <f>[37]รายการสรุป!$I$7</f>
        <v>0700349053200046</v>
      </c>
      <c r="D151" s="57" t="s">
        <v>44</v>
      </c>
      <c r="E151" s="52">
        <f t="shared" si="529"/>
        <v>1450000</v>
      </c>
      <c r="F151" s="52">
        <v>0</v>
      </c>
      <c r="G151" s="53">
        <f>[36]รายการสรุป!$J$7</f>
        <v>1450000</v>
      </c>
      <c r="H151" s="52">
        <f t="shared" ref="H151" si="538">J151+K151</f>
        <v>1441553.41</v>
      </c>
      <c r="I151" s="52">
        <f t="shared" ref="I151" si="539">H151*100/E151</f>
        <v>99.417476551724135</v>
      </c>
      <c r="J151" s="52">
        <v>0</v>
      </c>
      <c r="K151" s="52">
        <f>126356.7+60456+30995.91+49580+2560+15620+12703+28365+360936+2320+241824+6720+163040+144364.8+67040+7760+120912</f>
        <v>1441553.41</v>
      </c>
      <c r="L151" s="52">
        <f t="shared" si="532"/>
        <v>0</v>
      </c>
      <c r="M151" s="52">
        <f t="shared" si="533"/>
        <v>0</v>
      </c>
      <c r="N151" s="52">
        <v>0</v>
      </c>
      <c r="O151" s="52">
        <v>0</v>
      </c>
      <c r="P151" s="52">
        <f t="shared" si="534"/>
        <v>8446.5900000000838</v>
      </c>
      <c r="Q151" s="52">
        <f t="shared" si="535"/>
        <v>0.58252344827586788</v>
      </c>
      <c r="R151" s="52">
        <f t="shared" si="536"/>
        <v>0</v>
      </c>
      <c r="S151" s="52">
        <f t="shared" si="537"/>
        <v>8446.5900000000838</v>
      </c>
    </row>
    <row r="152" spans="1:19" ht="31.5" customHeight="1" x14ac:dyDescent="0.5">
      <c r="A152" s="9">
        <v>124</v>
      </c>
      <c r="B152" s="11" t="str">
        <f>[37]รายการสรุป!$E$8</f>
        <v>โครงการระบบชลประทานกิ่วลม 3 (งานซ่อมเขตชลประทาน)</v>
      </c>
      <c r="C152" s="54" t="str">
        <f>[37]รายการสรุป!$I$8</f>
        <v>0700349053200046</v>
      </c>
      <c r="D152" s="57" t="s">
        <v>67</v>
      </c>
      <c r="E152" s="52">
        <f t="shared" ref="E152" si="540">F152+G152</f>
        <v>386700</v>
      </c>
      <c r="F152" s="52">
        <v>0</v>
      </c>
      <c r="G152" s="53">
        <f>[37]รายการสรุป!$J$8</f>
        <v>386700</v>
      </c>
      <c r="H152" s="52">
        <f t="shared" ref="H152" si="541">J152+K152</f>
        <v>382297.68</v>
      </c>
      <c r="I152" s="52">
        <f t="shared" ref="I152" si="542">H152*100/E152</f>
        <v>98.861567106283943</v>
      </c>
      <c r="J152" s="52">
        <v>0</v>
      </c>
      <c r="K152" s="52">
        <f>49978.88+144366.8+67040+120912</f>
        <v>382297.68</v>
      </c>
      <c r="L152" s="52">
        <f t="shared" ref="L152" si="543">N152+O152</f>
        <v>0</v>
      </c>
      <c r="M152" s="52">
        <f t="shared" ref="M152" si="544">L152*100/E152</f>
        <v>0</v>
      </c>
      <c r="N152" s="52">
        <v>0</v>
      </c>
      <c r="O152" s="52">
        <v>0</v>
      </c>
      <c r="P152" s="52">
        <f t="shared" ref="P152" si="545">R152+S152</f>
        <v>4402.320000000007</v>
      </c>
      <c r="Q152" s="52">
        <f t="shared" ref="Q152" si="546">P152*100/E152</f>
        <v>1.1384328937160608</v>
      </c>
      <c r="R152" s="52">
        <f t="shared" ref="R152" si="547">F152-J152-N152</f>
        <v>0</v>
      </c>
      <c r="S152" s="52">
        <f t="shared" ref="S152" si="548">G152-K152-O152</f>
        <v>4402.320000000007</v>
      </c>
    </row>
    <row r="153" spans="1:19" ht="31.5" customHeight="1" x14ac:dyDescent="0.5">
      <c r="A153" s="9">
        <v>125</v>
      </c>
      <c r="B153" s="11" t="str">
        <f>[37]รายการสรุป!$E$9</f>
        <v>โครงการอ่างเก็บน้ำห้วยแม่เมาะ อันเนื่องมาจากพระราชดำริ จ.พะเยา(งานปักหลักเขตชลประทาน)</v>
      </c>
      <c r="C153" s="54" t="str">
        <f>[37]รายการสรุป!$I$9</f>
        <v>0700349053200046</v>
      </c>
      <c r="D153" s="57" t="s">
        <v>73</v>
      </c>
      <c r="E153" s="52">
        <f t="shared" ref="E153" si="549">F153+G153</f>
        <v>268800</v>
      </c>
      <c r="F153" s="52">
        <v>0</v>
      </c>
      <c r="G153" s="53">
        <f>[37]รายการสรุป!$J$9</f>
        <v>268800</v>
      </c>
      <c r="H153" s="52">
        <f t="shared" ref="H153" si="550">J153+K153</f>
        <v>267813.34999999998</v>
      </c>
      <c r="I153" s="52">
        <f t="shared" ref="I153" si="551">H153*100/E153</f>
        <v>99.632942708333317</v>
      </c>
      <c r="J153" s="52">
        <v>0</v>
      </c>
      <c r="K153" s="52">
        <f>22974.85+90254.5+37440+15620+12703+28365+60456</f>
        <v>267813.34999999998</v>
      </c>
      <c r="L153" s="52">
        <f t="shared" ref="L153" si="552">N153+O153</f>
        <v>0</v>
      </c>
      <c r="M153" s="52">
        <f t="shared" ref="M153" si="553">L153*100/E153</f>
        <v>0</v>
      </c>
      <c r="N153" s="52">
        <v>0</v>
      </c>
      <c r="O153" s="52">
        <v>0</v>
      </c>
      <c r="P153" s="52">
        <f t="shared" ref="P153" si="554">R153+S153</f>
        <v>986.65000000002328</v>
      </c>
      <c r="Q153" s="52">
        <f t="shared" ref="Q153" si="555">P153*100/E153</f>
        <v>0.36705729166667533</v>
      </c>
      <c r="R153" s="52">
        <f t="shared" ref="R153" si="556">F153-J153-N153</f>
        <v>0</v>
      </c>
      <c r="S153" s="52">
        <f t="shared" ref="S153" si="557">G153-K153-O153</f>
        <v>986.65000000002328</v>
      </c>
    </row>
    <row r="154" spans="1:19" ht="31.5" customHeight="1" x14ac:dyDescent="0.5">
      <c r="A154" s="9">
        <v>126</v>
      </c>
      <c r="B154" s="11" t="str">
        <f>[37]รายการสรุป!$E$10</f>
        <v>โครงการประตูระบายน้ำน้ำอิงบ้านร่องวิว จ.เชียงราย(งานรังวัดที่ดินเพื่อการชลประทาน)</v>
      </c>
      <c r="C154" s="54" t="str">
        <f>[37]รายการสรุป!$I$10</f>
        <v>0700349053200046</v>
      </c>
      <c r="D154" s="57" t="s">
        <v>84</v>
      </c>
      <c r="E154" s="52">
        <f t="shared" ref="E154" si="558">F154+G154</f>
        <v>40925</v>
      </c>
      <c r="F154" s="52">
        <v>0</v>
      </c>
      <c r="G154" s="53">
        <f>[37]รายการสรุป!$J$10</f>
        <v>40925</v>
      </c>
      <c r="H154" s="52">
        <f t="shared" ref="H154" si="559">J154+K154</f>
        <v>0</v>
      </c>
      <c r="I154" s="52">
        <f t="shared" ref="I154" si="560">H154*100/E154</f>
        <v>0</v>
      </c>
      <c r="J154" s="52">
        <v>0</v>
      </c>
      <c r="K154" s="52">
        <v>0</v>
      </c>
      <c r="L154" s="52">
        <f t="shared" ref="L154" si="561">N154+O154</f>
        <v>0</v>
      </c>
      <c r="M154" s="52">
        <f t="shared" ref="M154" si="562">L154*100/E154</f>
        <v>0</v>
      </c>
      <c r="N154" s="52">
        <v>0</v>
      </c>
      <c r="O154" s="52">
        <v>0</v>
      </c>
      <c r="P154" s="52">
        <f t="shared" ref="P154" si="563">R154+S154</f>
        <v>40925</v>
      </c>
      <c r="Q154" s="52">
        <f t="shared" ref="Q154" si="564">P154*100/E154</f>
        <v>100</v>
      </c>
      <c r="R154" s="52">
        <f t="shared" ref="R154" si="565">F154-J154-N154</f>
        <v>0</v>
      </c>
      <c r="S154" s="52">
        <f t="shared" ref="S154" si="566">G154-K154-O154</f>
        <v>40925</v>
      </c>
    </row>
    <row r="155" spans="1:19" ht="31.5" customHeight="1" x14ac:dyDescent="0.5">
      <c r="A155" s="9">
        <v>127</v>
      </c>
      <c r="B155" s="11" t="str">
        <f>[37]รายการสรุป!$E$11</f>
        <v>โครงการชลประทานเชียงราย(โครงการฝายเชียงราย) จ.เชียงราย(งานซ่อมเขตชลประทาน)</v>
      </c>
      <c r="C155" s="54" t="str">
        <f>[37]รายการสรุป!$I$11</f>
        <v>0700349053200046</v>
      </c>
      <c r="D155" s="57" t="s">
        <v>84</v>
      </c>
      <c r="E155" s="52">
        <f t="shared" ref="E155" si="567">F155+G155</f>
        <v>226175</v>
      </c>
      <c r="F155" s="52">
        <v>0</v>
      </c>
      <c r="G155" s="53">
        <f>[37]รายการสรุป!$J$11</f>
        <v>226175</v>
      </c>
      <c r="H155" s="52">
        <f t="shared" ref="H155" si="568">J155+K155</f>
        <v>0</v>
      </c>
      <c r="I155" s="52">
        <f t="shared" ref="I155" si="569">H155*100/E155</f>
        <v>0</v>
      </c>
      <c r="J155" s="52">
        <v>0</v>
      </c>
      <c r="K155" s="52">
        <v>0</v>
      </c>
      <c r="L155" s="52">
        <f t="shared" ref="L155" si="570">N155+O155</f>
        <v>0</v>
      </c>
      <c r="M155" s="52">
        <f t="shared" ref="M155" si="571">L155*100/E155</f>
        <v>0</v>
      </c>
      <c r="N155" s="52">
        <v>0</v>
      </c>
      <c r="O155" s="52">
        <v>0</v>
      </c>
      <c r="P155" s="52">
        <f t="shared" ref="P155" si="572">R155+S155</f>
        <v>226175</v>
      </c>
      <c r="Q155" s="52">
        <f t="shared" ref="Q155" si="573">P155*100/E155</f>
        <v>100</v>
      </c>
      <c r="R155" s="52">
        <f t="shared" ref="R155" si="574">F155-J155-N155</f>
        <v>0</v>
      </c>
      <c r="S155" s="52">
        <f t="shared" ref="S155" si="575">G155-K155-O155</f>
        <v>226175</v>
      </c>
    </row>
    <row r="156" spans="1:19" ht="31.5" customHeight="1" x14ac:dyDescent="0.5">
      <c r="A156" s="9"/>
      <c r="B156" s="18" t="s">
        <v>46</v>
      </c>
      <c r="C156" s="18"/>
      <c r="D156" s="24"/>
      <c r="E156" s="19">
        <f>F156+G156</f>
        <v>2654600</v>
      </c>
      <c r="F156" s="19">
        <f>F157</f>
        <v>0</v>
      </c>
      <c r="G156" s="19">
        <f>G157</f>
        <v>2654600</v>
      </c>
      <c r="H156" s="19">
        <f>J156+K156</f>
        <v>1946768.2</v>
      </c>
      <c r="I156" s="19">
        <f>H156*100/E156</f>
        <v>73.335651322233105</v>
      </c>
      <c r="J156" s="19">
        <f>J157</f>
        <v>0</v>
      </c>
      <c r="K156" s="19">
        <f>K157</f>
        <v>1946768.2</v>
      </c>
      <c r="L156" s="19">
        <f>N156+O156</f>
        <v>0</v>
      </c>
      <c r="M156" s="19">
        <f>L156*100/E156</f>
        <v>0</v>
      </c>
      <c r="N156" s="19">
        <f>N157</f>
        <v>0</v>
      </c>
      <c r="O156" s="19">
        <f>O157</f>
        <v>0</v>
      </c>
      <c r="P156" s="19">
        <f t="shared" si="534"/>
        <v>707831.8</v>
      </c>
      <c r="Q156" s="19">
        <f>P156*100/E156</f>
        <v>26.664348677766895</v>
      </c>
      <c r="R156" s="19">
        <f t="shared" si="536"/>
        <v>0</v>
      </c>
      <c r="S156" s="19">
        <f t="shared" si="537"/>
        <v>707831.8</v>
      </c>
    </row>
    <row r="157" spans="1:19" ht="32.25" customHeight="1" x14ac:dyDescent="0.5">
      <c r="A157" s="9">
        <v>128</v>
      </c>
      <c r="B157" s="50" t="str">
        <f>[38]รายการสรุป!$E$5</f>
        <v>ค่าใช้จ่ายในการบริหารงานจัดหาที่ดิน  ฝ่ายจัดหาที่ดิน 2</v>
      </c>
      <c r="C157" s="54" t="str">
        <f>[38]รายการสรุป!$I$5</f>
        <v>0700349053200062</v>
      </c>
      <c r="D157" s="57" t="s">
        <v>47</v>
      </c>
      <c r="E157" s="52">
        <f t="shared" ref="E157:E161" si="576">F157+G157</f>
        <v>2654600</v>
      </c>
      <c r="F157" s="52">
        <v>0</v>
      </c>
      <c r="G157" s="53">
        <f>[39]รายการสรุป!$J$5</f>
        <v>2654600</v>
      </c>
      <c r="H157" s="52">
        <f t="shared" ref="H157:H159" si="577">J157+K157</f>
        <v>1946768.2</v>
      </c>
      <c r="I157" s="52">
        <f t="shared" ref="I157:I158" si="578">H157*100/E157</f>
        <v>73.335651322233105</v>
      </c>
      <c r="J157" s="52">
        <v>0</v>
      </c>
      <c r="K157" s="52">
        <f>103630+10000+10000+75100+5200+88611+80842.3+211224+10000+91548.85+193600+520+99582.35+100+174640+900+95124+211200+110905.7+20000+354040</f>
        <v>1946768.2</v>
      </c>
      <c r="L157" s="52">
        <f t="shared" ref="L157" si="579">N157+O157</f>
        <v>0</v>
      </c>
      <c r="M157" s="52">
        <f t="shared" ref="M157:M158" si="580">L157*100/E157</f>
        <v>0</v>
      </c>
      <c r="N157" s="52">
        <v>0</v>
      </c>
      <c r="O157" s="52">
        <v>0</v>
      </c>
      <c r="P157" s="52">
        <f t="shared" ref="P157" si="581">R157+S157</f>
        <v>707831.8</v>
      </c>
      <c r="Q157" s="52">
        <f t="shared" ref="Q157:Q158" si="582">P157*100/E157</f>
        <v>26.664348677766895</v>
      </c>
      <c r="R157" s="52">
        <f t="shared" ref="R157" si="583">F157-J157-N157</f>
        <v>0</v>
      </c>
      <c r="S157" s="52">
        <f t="shared" ref="S157" si="584">G157-K157-O157</f>
        <v>707831.8</v>
      </c>
    </row>
    <row r="158" spans="1:19" ht="29.25" customHeight="1" x14ac:dyDescent="0.5">
      <c r="A158" s="9"/>
      <c r="B158" s="18" t="s">
        <v>66</v>
      </c>
      <c r="C158" s="18"/>
      <c r="D158" s="24"/>
      <c r="E158" s="19">
        <f>F158+G158</f>
        <v>891700</v>
      </c>
      <c r="F158" s="19">
        <f>SUM(F159:F161)</f>
        <v>0</v>
      </c>
      <c r="G158" s="19">
        <f>SUM(G159:G161)</f>
        <v>891700</v>
      </c>
      <c r="H158" s="19">
        <f>J158+K158</f>
        <v>0</v>
      </c>
      <c r="I158" s="19">
        <f t="shared" si="578"/>
        <v>0</v>
      </c>
      <c r="J158" s="19">
        <f>SUM(J159:J161)</f>
        <v>0</v>
      </c>
      <c r="K158" s="19">
        <f>SUM(K159:K161)</f>
        <v>0</v>
      </c>
      <c r="L158" s="19">
        <f>N158+O158</f>
        <v>0</v>
      </c>
      <c r="M158" s="19">
        <f t="shared" si="580"/>
        <v>0</v>
      </c>
      <c r="N158" s="19">
        <f>SUM(N159:N161)</f>
        <v>0</v>
      </c>
      <c r="O158" s="19">
        <f>SUM(O159:O161)</f>
        <v>0</v>
      </c>
      <c r="P158" s="19">
        <f>R158+S158</f>
        <v>891700</v>
      </c>
      <c r="Q158" s="19">
        <f t="shared" si="582"/>
        <v>100</v>
      </c>
      <c r="R158" s="19">
        <f>SUM(R159:R161)</f>
        <v>0</v>
      </c>
      <c r="S158" s="19">
        <f>SUM(S159:S161)</f>
        <v>891700</v>
      </c>
    </row>
    <row r="159" spans="1:19" ht="32.25" customHeight="1" x14ac:dyDescent="0.5">
      <c r="A159" s="9">
        <v>129</v>
      </c>
      <c r="B159" s="50" t="str">
        <f>[40]รายการสรุป!$E$5</f>
        <v>ฝายห้วยธนูพร้อมระบบส่งน้ำ ต.ตาลชุม อ.ท่าวังผ่า จ.น่าน</v>
      </c>
      <c r="C159" s="54" t="str">
        <f>[40]รายการสรุป!$I$5</f>
        <v>0700349053420009</v>
      </c>
      <c r="D159" s="57" t="s">
        <v>61</v>
      </c>
      <c r="E159" s="52">
        <f t="shared" si="576"/>
        <v>303000</v>
      </c>
      <c r="F159" s="52">
        <v>0</v>
      </c>
      <c r="G159" s="53">
        <f>[40]รายการสรุป!$J$5</f>
        <v>303000</v>
      </c>
      <c r="H159" s="52">
        <f t="shared" si="577"/>
        <v>0</v>
      </c>
      <c r="I159" s="52">
        <f t="shared" ref="I159" si="585">H159*100/E159</f>
        <v>0</v>
      </c>
      <c r="J159" s="52">
        <v>0</v>
      </c>
      <c r="K159" s="52">
        <v>0</v>
      </c>
      <c r="L159" s="52">
        <f t="shared" ref="L159" si="586">N159+O159</f>
        <v>0</v>
      </c>
      <c r="M159" s="52">
        <f t="shared" ref="M159" si="587">L159*100/E159</f>
        <v>0</v>
      </c>
      <c r="N159" s="52">
        <v>0</v>
      </c>
      <c r="O159" s="52">
        <v>0</v>
      </c>
      <c r="P159" s="52">
        <f t="shared" ref="P159" si="588">R159+S159</f>
        <v>303000</v>
      </c>
      <c r="Q159" s="52">
        <f t="shared" ref="Q159" si="589">P159*100/E159</f>
        <v>100</v>
      </c>
      <c r="R159" s="52">
        <f t="shared" ref="R159" si="590">F159-J159-N159</f>
        <v>0</v>
      </c>
      <c r="S159" s="52">
        <f t="shared" ref="S159" si="591">G159-K159-O159</f>
        <v>303000</v>
      </c>
    </row>
    <row r="160" spans="1:19" ht="32.25" customHeight="1" x14ac:dyDescent="0.5">
      <c r="A160" s="9">
        <v>130</v>
      </c>
      <c r="B160" s="50" t="str">
        <f>[40]รายการสรุป!$E$6</f>
        <v>ฝายห้วยป้าก 1 พร้อมระบบส่งน้ำ ต.ตาลชุม อ.ท่าวังผา จ.น่าน</v>
      </c>
      <c r="C160" s="54" t="str">
        <f>[40]รายการสรุป!$I$6</f>
        <v>0700349053420010</v>
      </c>
      <c r="D160" s="57" t="s">
        <v>61</v>
      </c>
      <c r="E160" s="52">
        <f t="shared" si="576"/>
        <v>357500</v>
      </c>
      <c r="F160" s="52">
        <v>0</v>
      </c>
      <c r="G160" s="53">
        <f>[40]รายการสรุป!$J$6</f>
        <v>357500</v>
      </c>
      <c r="H160" s="52">
        <f t="shared" ref="H160:H161" si="592">J160+K160</f>
        <v>0</v>
      </c>
      <c r="I160" s="52">
        <f t="shared" ref="I160:I161" si="593">H160*100/E160</f>
        <v>0</v>
      </c>
      <c r="J160" s="52">
        <v>0</v>
      </c>
      <c r="K160" s="52">
        <v>0</v>
      </c>
      <c r="L160" s="52">
        <f t="shared" ref="L160:L161" si="594">N160+O160</f>
        <v>0</v>
      </c>
      <c r="M160" s="52">
        <f t="shared" ref="M160:M161" si="595">L160*100/E160</f>
        <v>0</v>
      </c>
      <c r="N160" s="52">
        <v>0</v>
      </c>
      <c r="O160" s="52">
        <v>0</v>
      </c>
      <c r="P160" s="52">
        <f t="shared" ref="P160:P161" si="596">R160+S160</f>
        <v>357500</v>
      </c>
      <c r="Q160" s="52">
        <f t="shared" ref="Q160:Q161" si="597">P160*100/E160</f>
        <v>100</v>
      </c>
      <c r="R160" s="52">
        <f t="shared" ref="R160:R161" si="598">F160-J160-N160</f>
        <v>0</v>
      </c>
      <c r="S160" s="52">
        <f t="shared" ref="S160:S161" si="599">G160-K160-O160</f>
        <v>357500</v>
      </c>
    </row>
    <row r="161" spans="1:19" ht="32.25" customHeight="1" x14ac:dyDescent="0.5">
      <c r="A161" s="9">
        <v>131</v>
      </c>
      <c r="B161" s="50" t="str">
        <f>[40]รายการสรุป!$E$7</f>
        <v>ฝายห้วยป้าก 2 พร้อมระบบส่งน้ำ ต.ตาลชุม อ.ท่าวังผา จ.น่าน</v>
      </c>
      <c r="C161" s="54" t="str">
        <f>[40]รายการสรุป!$I$7</f>
        <v>0700349053420011</v>
      </c>
      <c r="D161" s="57" t="s">
        <v>61</v>
      </c>
      <c r="E161" s="52">
        <f t="shared" si="576"/>
        <v>231200</v>
      </c>
      <c r="F161" s="52">
        <v>0</v>
      </c>
      <c r="G161" s="53">
        <f>[40]รายการสรุป!$J$7</f>
        <v>231200</v>
      </c>
      <c r="H161" s="52">
        <f t="shared" si="592"/>
        <v>0</v>
      </c>
      <c r="I161" s="52">
        <f t="shared" si="593"/>
        <v>0</v>
      </c>
      <c r="J161" s="52">
        <v>0</v>
      </c>
      <c r="K161" s="52">
        <v>0</v>
      </c>
      <c r="L161" s="52">
        <f t="shared" si="594"/>
        <v>0</v>
      </c>
      <c r="M161" s="52">
        <f t="shared" si="595"/>
        <v>0</v>
      </c>
      <c r="N161" s="52">
        <v>0</v>
      </c>
      <c r="O161" s="52">
        <v>0</v>
      </c>
      <c r="P161" s="52">
        <f t="shared" si="596"/>
        <v>231200</v>
      </c>
      <c r="Q161" s="52">
        <f t="shared" si="597"/>
        <v>100</v>
      </c>
      <c r="R161" s="52">
        <f t="shared" si="598"/>
        <v>0</v>
      </c>
      <c r="S161" s="52">
        <f t="shared" si="599"/>
        <v>231200</v>
      </c>
    </row>
    <row r="162" spans="1:19" ht="30" customHeight="1" x14ac:dyDescent="0.5">
      <c r="A162" s="9"/>
      <c r="B162" s="20" t="s">
        <v>31</v>
      </c>
      <c r="C162" s="20"/>
      <c r="D162" s="23"/>
      <c r="E162" s="21">
        <f>G162+F162</f>
        <v>34624351</v>
      </c>
      <c r="F162" s="22">
        <f>F163+F167+F171</f>
        <v>31168300</v>
      </c>
      <c r="G162" s="21">
        <f>G163+G167+G171</f>
        <v>3456051</v>
      </c>
      <c r="H162" s="22">
        <f>K162+J162</f>
        <v>493018.58999999997</v>
      </c>
      <c r="I162" s="22">
        <f>H162*100/E162</f>
        <v>1.4239070935943319</v>
      </c>
      <c r="J162" s="22">
        <f>J163+J167</f>
        <v>0</v>
      </c>
      <c r="K162" s="22">
        <f>K163+K167+K171</f>
        <v>493018.58999999997</v>
      </c>
      <c r="L162" s="22">
        <f>O162+N162</f>
        <v>0</v>
      </c>
      <c r="M162" s="20"/>
      <c r="N162" s="22">
        <f>N163+N167</f>
        <v>0</v>
      </c>
      <c r="O162" s="22">
        <f>O163+O167+O171</f>
        <v>0</v>
      </c>
      <c r="P162" s="22">
        <f>S162+R162</f>
        <v>34131332.409999996</v>
      </c>
      <c r="Q162" s="21">
        <f>P162*100/E162</f>
        <v>98.576092906405648</v>
      </c>
      <c r="R162" s="22">
        <f>F162-J162-N162</f>
        <v>31168300</v>
      </c>
      <c r="S162" s="22">
        <f>G162-K162-O162</f>
        <v>2963032.41</v>
      </c>
    </row>
    <row r="163" spans="1:19" ht="30" customHeight="1" x14ac:dyDescent="0.5">
      <c r="A163" s="9"/>
      <c r="B163" s="18" t="s">
        <v>36</v>
      </c>
      <c r="C163" s="18"/>
      <c r="D163" s="24"/>
      <c r="E163" s="19">
        <f>G163+F163</f>
        <v>29997500</v>
      </c>
      <c r="F163" s="19">
        <f>SUM(F164:F166)</f>
        <v>29488400</v>
      </c>
      <c r="G163" s="19">
        <f>SUM(G164:G166)</f>
        <v>509100</v>
      </c>
      <c r="H163" s="19">
        <f>K163+J163</f>
        <v>0</v>
      </c>
      <c r="I163" s="19">
        <f>H163*100/E163</f>
        <v>0</v>
      </c>
      <c r="J163" s="19">
        <f>SUM(J164:J166)</f>
        <v>0</v>
      </c>
      <c r="K163" s="19">
        <f>SUM(K164:K166)</f>
        <v>0</v>
      </c>
      <c r="L163" s="19">
        <f>N163+O163</f>
        <v>0</v>
      </c>
      <c r="M163" s="19">
        <f>L163*100/E163</f>
        <v>0</v>
      </c>
      <c r="N163" s="19">
        <f>SUM(N164:N166)</f>
        <v>0</v>
      </c>
      <c r="O163" s="19">
        <f>SUM(O164:O166)</f>
        <v>0</v>
      </c>
      <c r="P163" s="19">
        <f t="shared" ref="P163" si="600">R163+S163</f>
        <v>29997500</v>
      </c>
      <c r="Q163" s="19">
        <f>P163*100/E163</f>
        <v>100</v>
      </c>
      <c r="R163" s="19">
        <f t="shared" ref="R163" si="601">F163-J163-N163</f>
        <v>29488400</v>
      </c>
      <c r="S163" s="19">
        <f t="shared" ref="S163" si="602">G163-K163-O163</f>
        <v>509100</v>
      </c>
    </row>
    <row r="164" spans="1:19" ht="30" customHeight="1" x14ac:dyDescent="0.5">
      <c r="A164" s="9">
        <v>132</v>
      </c>
      <c r="B164" s="11" t="str">
        <f>[41]รายการสรุป!$E$5</f>
        <v>เขื่อนหัวงานและอาคารประกอบพร้อมส่วนประกอบอื่นโครงการปับปรุงเขื่อนแม่สรวย จ.เชียงราย</v>
      </c>
      <c r="C164" s="11" t="str">
        <f>[41]รายการสรุป!$I$5</f>
        <v>0700349054420038</v>
      </c>
      <c r="D164" s="15" t="s">
        <v>32</v>
      </c>
      <c r="E164" s="52">
        <f t="shared" ref="E164" si="603">F164+G164</f>
        <v>29090300</v>
      </c>
      <c r="F164" s="52">
        <f>[41]รายการสรุป!$J$5</f>
        <v>29090300</v>
      </c>
      <c r="G164" s="53">
        <v>0</v>
      </c>
      <c r="H164" s="52">
        <f t="shared" ref="H164" si="604">J164+K164</f>
        <v>0</v>
      </c>
      <c r="I164" s="52">
        <f t="shared" ref="I164" si="605">H164*100/E164</f>
        <v>0</v>
      </c>
      <c r="J164" s="52">
        <v>0</v>
      </c>
      <c r="K164" s="52"/>
      <c r="L164" s="52">
        <f t="shared" ref="L164" si="606">N164+O164</f>
        <v>0</v>
      </c>
      <c r="M164" s="52">
        <f t="shared" ref="M164" si="607">L164*100/E164</f>
        <v>0</v>
      </c>
      <c r="N164" s="52">
        <v>0</v>
      </c>
      <c r="O164" s="52">
        <v>0</v>
      </c>
      <c r="P164" s="52">
        <f t="shared" ref="P164" si="608">R164+S164</f>
        <v>29090300</v>
      </c>
      <c r="Q164" s="52">
        <f t="shared" ref="Q164" si="609">P164*100/E164</f>
        <v>100</v>
      </c>
      <c r="R164" s="52">
        <f t="shared" ref="R164" si="610">F164-J164-N164</f>
        <v>29090300</v>
      </c>
      <c r="S164" s="52">
        <f t="shared" ref="S164" si="611">G164-K164-O164</f>
        <v>0</v>
      </c>
    </row>
    <row r="165" spans="1:19" ht="47.25" customHeight="1" x14ac:dyDescent="0.5">
      <c r="A165" s="9">
        <v>133</v>
      </c>
      <c r="B165" s="11" t="str">
        <f>[41]รายการสรุป!$E$6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165" s="11" t="str">
        <f>[41]รายการสรุป!$I$6</f>
        <v>0700349054420039</v>
      </c>
      <c r="D165" s="15" t="s">
        <v>32</v>
      </c>
      <c r="E165" s="52">
        <f t="shared" ref="E165:E166" si="612">F165+G165</f>
        <v>398100</v>
      </c>
      <c r="F165" s="52">
        <f>[41]รายการสรุป!$J$6</f>
        <v>398100</v>
      </c>
      <c r="G165" s="53">
        <v>0</v>
      </c>
      <c r="H165" s="52">
        <f t="shared" ref="H165:H166" si="613">J165+K165</f>
        <v>0</v>
      </c>
      <c r="I165" s="52">
        <f t="shared" ref="I165:I166" si="614">H165*100/E165</f>
        <v>0</v>
      </c>
      <c r="J165" s="52">
        <v>0</v>
      </c>
      <c r="K165" s="52"/>
      <c r="L165" s="52">
        <f t="shared" ref="L165:L166" si="615">N165+O165</f>
        <v>0</v>
      </c>
      <c r="M165" s="52">
        <f t="shared" ref="M165:M166" si="616">L165*100/E165</f>
        <v>0</v>
      </c>
      <c r="N165" s="52">
        <v>0</v>
      </c>
      <c r="O165" s="52">
        <v>0</v>
      </c>
      <c r="P165" s="52">
        <f t="shared" ref="P165:P168" si="617">R165+S165</f>
        <v>398100</v>
      </c>
      <c r="Q165" s="52">
        <f t="shared" ref="Q165:Q166" si="618">P165*100/E165</f>
        <v>100</v>
      </c>
      <c r="R165" s="52">
        <f t="shared" ref="R165:R168" si="619">F165-J165-N165</f>
        <v>398100</v>
      </c>
      <c r="S165" s="52">
        <f t="shared" ref="S165:S168" si="620">G165-K165-O165</f>
        <v>0</v>
      </c>
    </row>
    <row r="166" spans="1:19" ht="47.25" customHeight="1" x14ac:dyDescent="0.5">
      <c r="A166" s="9">
        <v>134</v>
      </c>
      <c r="B166" s="11" t="str">
        <f>[41]รายการสรุป!$E$7</f>
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</c>
      <c r="C166" s="11" t="str">
        <f>[41]รายการสรุป!$I$7</f>
        <v>0700349054410024</v>
      </c>
      <c r="D166" s="15" t="s">
        <v>32</v>
      </c>
      <c r="E166" s="52">
        <f t="shared" si="612"/>
        <v>509100</v>
      </c>
      <c r="F166" s="52">
        <v>0</v>
      </c>
      <c r="G166" s="53">
        <f>[41]รายการสรุป!$J$7</f>
        <v>509100</v>
      </c>
      <c r="H166" s="52">
        <f t="shared" si="613"/>
        <v>0</v>
      </c>
      <c r="I166" s="52">
        <f t="shared" si="614"/>
        <v>0</v>
      </c>
      <c r="J166" s="52">
        <v>0</v>
      </c>
      <c r="K166" s="52"/>
      <c r="L166" s="52">
        <f t="shared" si="615"/>
        <v>0</v>
      </c>
      <c r="M166" s="52">
        <f t="shared" si="616"/>
        <v>0</v>
      </c>
      <c r="N166" s="52">
        <v>0</v>
      </c>
      <c r="O166" s="52">
        <v>0</v>
      </c>
      <c r="P166" s="52">
        <f t="shared" si="617"/>
        <v>509100</v>
      </c>
      <c r="Q166" s="52">
        <f t="shared" si="618"/>
        <v>100</v>
      </c>
      <c r="R166" s="52">
        <f t="shared" si="619"/>
        <v>0</v>
      </c>
      <c r="S166" s="52">
        <f t="shared" si="620"/>
        <v>509100</v>
      </c>
    </row>
    <row r="167" spans="1:19" ht="31.5" customHeight="1" x14ac:dyDescent="0.5">
      <c r="A167" s="9"/>
      <c r="B167" s="18" t="s">
        <v>37</v>
      </c>
      <c r="C167" s="18"/>
      <c r="D167" s="24"/>
      <c r="E167" s="19">
        <f>G167+F167</f>
        <v>3596851</v>
      </c>
      <c r="F167" s="19">
        <f>SUM(F168:F170)</f>
        <v>1679900</v>
      </c>
      <c r="G167" s="19">
        <f>SUM(G168:G170)</f>
        <v>1916951</v>
      </c>
      <c r="H167" s="19">
        <f>K167+J167</f>
        <v>493018.58999999997</v>
      </c>
      <c r="I167" s="19">
        <f>H167*100/E167</f>
        <v>13.706950607628729</v>
      </c>
      <c r="J167" s="19">
        <f>SUM(J168:J170)</f>
        <v>0</v>
      </c>
      <c r="K167" s="19">
        <f>SUM(K168:K170)</f>
        <v>493018.58999999997</v>
      </c>
      <c r="L167" s="19">
        <f>N167+O167</f>
        <v>0</v>
      </c>
      <c r="M167" s="19">
        <f>L167*100/E167</f>
        <v>0</v>
      </c>
      <c r="N167" s="19">
        <f>SUM(N168:N170)</f>
        <v>0</v>
      </c>
      <c r="O167" s="19">
        <f>SUM(O168:O170)</f>
        <v>0</v>
      </c>
      <c r="P167" s="19">
        <f t="shared" si="617"/>
        <v>3103832.41</v>
      </c>
      <c r="Q167" s="19">
        <f>P167*100/E167</f>
        <v>86.293049392371273</v>
      </c>
      <c r="R167" s="19">
        <f t="shared" si="619"/>
        <v>1679900</v>
      </c>
      <c r="S167" s="19">
        <f t="shared" si="620"/>
        <v>1423932.4100000001</v>
      </c>
    </row>
    <row r="168" spans="1:19" ht="35.25" customHeight="1" x14ac:dyDescent="0.5">
      <c r="A168" s="9">
        <v>135</v>
      </c>
      <c r="B168" s="11" t="str">
        <f>[42]รายการสรุป!$E$5</f>
        <v>ปรับปรุงขยายทางระบายน้ำพร้อมอาคารประกอบแม่น้ำวังด้านท้ายเขื่อนกิ่วลม(ระยะที่2)ต.บ้านแลง อ.เมือง จ.ลำปาง</v>
      </c>
      <c r="C168" s="11" t="str">
        <f>[42]รายการสรุป!$I$5</f>
        <v>0700349054420060</v>
      </c>
      <c r="D168" s="15" t="s">
        <v>35</v>
      </c>
      <c r="E168" s="52">
        <f t="shared" ref="E168" si="621">F168+G168</f>
        <v>640000</v>
      </c>
      <c r="F168" s="52">
        <v>0</v>
      </c>
      <c r="G168" s="53">
        <f>[43]รายการสรุป!$J$5</f>
        <v>640000</v>
      </c>
      <c r="H168" s="52">
        <f t="shared" ref="H168" si="622">J168+K168</f>
        <v>251260</v>
      </c>
      <c r="I168" s="52">
        <f t="shared" ref="I168" si="623">H168*100/E168</f>
        <v>39.259374999999999</v>
      </c>
      <c r="J168" s="52">
        <v>0</v>
      </c>
      <c r="K168" s="52">
        <f>15207+21399+11486+6960+40323+7935+15870+15823.45+83998.35+6567+13051.3+3605.7+6022.8+3011.4</f>
        <v>251260</v>
      </c>
      <c r="L168" s="52">
        <f t="shared" ref="L168" si="624">N168+O168</f>
        <v>0</v>
      </c>
      <c r="M168" s="52">
        <f t="shared" ref="M168" si="625">L168*100/E168</f>
        <v>0</v>
      </c>
      <c r="N168" s="52">
        <v>0</v>
      </c>
      <c r="O168" s="52">
        <v>0</v>
      </c>
      <c r="P168" s="52">
        <f t="shared" si="617"/>
        <v>388740</v>
      </c>
      <c r="Q168" s="52">
        <f t="shared" ref="Q168" si="626">P168*100/E168</f>
        <v>60.740625000000001</v>
      </c>
      <c r="R168" s="52">
        <f t="shared" si="619"/>
        <v>0</v>
      </c>
      <c r="S168" s="52">
        <f t="shared" si="620"/>
        <v>388740</v>
      </c>
    </row>
    <row r="169" spans="1:19" ht="34.5" customHeight="1" x14ac:dyDescent="0.5">
      <c r="A169" s="9">
        <v>136</v>
      </c>
      <c r="B169" s="50" t="str">
        <f>[42]รายการสรุป!$E$6</f>
        <v>ปรับปรุงขยายทางระบายน้ำพร้อมอาคารประกอบท้ายเขื่อนโครงการส่งน้ำและบำรุงรักษากิ่วลม-กิ่วคอหมา จ.ลำปาง</v>
      </c>
      <c r="C169" s="11" t="str">
        <f>[42]รายการสรุป!$I$6</f>
        <v>0700349054420119</v>
      </c>
      <c r="D169" s="15" t="s">
        <v>35</v>
      </c>
      <c r="E169" s="52">
        <f t="shared" ref="E169:E170" si="627">F169+G169</f>
        <v>963000</v>
      </c>
      <c r="F169" s="52">
        <v>0</v>
      </c>
      <c r="G169" s="53">
        <f>[43]รายการสรุป!$J$6</f>
        <v>963000</v>
      </c>
      <c r="H169" s="52">
        <f t="shared" ref="H169:H170" si="628">J169+K169</f>
        <v>0</v>
      </c>
      <c r="I169" s="52">
        <f t="shared" ref="I169:I170" si="629">H169*100/E169</f>
        <v>0</v>
      </c>
      <c r="J169" s="52">
        <v>0</v>
      </c>
      <c r="K169" s="52"/>
      <c r="L169" s="52">
        <f t="shared" ref="L169:L170" si="630">N169+O169</f>
        <v>0</v>
      </c>
      <c r="M169" s="52">
        <f t="shared" ref="M169:M170" si="631">L169*100/E169</f>
        <v>0</v>
      </c>
      <c r="N169" s="52">
        <v>0</v>
      </c>
      <c r="O169" s="52">
        <v>0</v>
      </c>
      <c r="P169" s="52">
        <f t="shared" ref="P169:P171" si="632">R169+S169</f>
        <v>963000</v>
      </c>
      <c r="Q169" s="52">
        <f t="shared" ref="Q169:Q170" si="633">P169*100/E169</f>
        <v>100</v>
      </c>
      <c r="R169" s="52">
        <f t="shared" ref="R169:R171" si="634">F169-J169-N169</f>
        <v>0</v>
      </c>
      <c r="S169" s="52">
        <f t="shared" ref="S169:S171" si="635">G169-K169-O169</f>
        <v>963000</v>
      </c>
    </row>
    <row r="170" spans="1:19" ht="30" customHeight="1" x14ac:dyDescent="0.5">
      <c r="A170" s="9">
        <v>137</v>
      </c>
      <c r="B170" s="11" t="str">
        <f>[42]รายการสรุป!$E$7</f>
        <v>จัดหาและติดตั้งเครื่องมือตรวจวัดพฤติกรรมเขื่อนอ่างเก็บน้ำห้วยแม่แก่ง ต.แม่ถอด อ.เถิน จ.ลำปาง</v>
      </c>
      <c r="C170" s="11" t="str">
        <f>[42]รายการสรุป!$I$7</f>
        <v>0700349054410001</v>
      </c>
      <c r="D170" s="15" t="s">
        <v>23</v>
      </c>
      <c r="E170" s="52">
        <f t="shared" si="627"/>
        <v>1993851</v>
      </c>
      <c r="F170" s="52">
        <f>[44]รายการสรุป!$J$8</f>
        <v>1679900</v>
      </c>
      <c r="G170" s="53">
        <f>[44]รายการสรุป!$J$7</f>
        <v>313951</v>
      </c>
      <c r="H170" s="52">
        <f t="shared" si="628"/>
        <v>241758.59</v>
      </c>
      <c r="I170" s="52">
        <f t="shared" si="629"/>
        <v>12.125208453389947</v>
      </c>
      <c r="J170" s="52">
        <v>0</v>
      </c>
      <c r="K170" s="52">
        <f>10080+3840+8331.85+199550+12996.74+6960</f>
        <v>241758.59</v>
      </c>
      <c r="L170" s="52">
        <f t="shared" si="630"/>
        <v>0</v>
      </c>
      <c r="M170" s="52">
        <f t="shared" si="631"/>
        <v>0</v>
      </c>
      <c r="N170" s="52">
        <v>0</v>
      </c>
      <c r="O170" s="52">
        <v>0</v>
      </c>
      <c r="P170" s="52">
        <f t="shared" si="632"/>
        <v>1752092.41</v>
      </c>
      <c r="Q170" s="52">
        <f t="shared" si="633"/>
        <v>87.874791546610055</v>
      </c>
      <c r="R170" s="52">
        <f t="shared" si="634"/>
        <v>1679900</v>
      </c>
      <c r="S170" s="52">
        <f t="shared" si="635"/>
        <v>72192.41</v>
      </c>
    </row>
    <row r="171" spans="1:19" ht="39.75" customHeight="1" x14ac:dyDescent="0.5">
      <c r="A171" s="9"/>
      <c r="B171" s="18" t="s">
        <v>68</v>
      </c>
      <c r="C171" s="18"/>
      <c r="D171" s="24"/>
      <c r="E171" s="19">
        <f>F171+G171</f>
        <v>1030000</v>
      </c>
      <c r="F171" s="19">
        <f>SUM(F172:F174)</f>
        <v>0</v>
      </c>
      <c r="G171" s="19">
        <f>SUM(G172)</f>
        <v>1030000</v>
      </c>
      <c r="H171" s="19">
        <f>K171+J171</f>
        <v>0</v>
      </c>
      <c r="I171" s="19">
        <f>H171*100/E171</f>
        <v>0</v>
      </c>
      <c r="J171" s="19">
        <f>SUM(J172:J174)</f>
        <v>0</v>
      </c>
      <c r="K171" s="19">
        <f>SUM(K172)</f>
        <v>0</v>
      </c>
      <c r="L171" s="19">
        <f>N171+O171</f>
        <v>0</v>
      </c>
      <c r="M171" s="19">
        <f>L171*100/E171</f>
        <v>0</v>
      </c>
      <c r="N171" s="19">
        <f>SUM(N172)</f>
        <v>0</v>
      </c>
      <c r="O171" s="19">
        <f>SUM(O172)</f>
        <v>0</v>
      </c>
      <c r="P171" s="19">
        <f t="shared" si="632"/>
        <v>1030000</v>
      </c>
      <c r="Q171" s="19">
        <f>P171*100/E171</f>
        <v>100</v>
      </c>
      <c r="R171" s="19">
        <f t="shared" si="634"/>
        <v>0</v>
      </c>
      <c r="S171" s="19">
        <f t="shared" si="635"/>
        <v>1030000</v>
      </c>
    </row>
    <row r="172" spans="1:19" ht="35.25" customHeight="1" x14ac:dyDescent="0.5">
      <c r="A172" s="9">
        <v>138</v>
      </c>
      <c r="B172" s="11" t="str">
        <f>[45]รายการสรุป!$E$5</f>
        <v>อาคารป้องกันตลิ่งท้ายอ่างเก็บน้ำน้ำพง ระยะ 2 ต.พงษ์ อ.สันติสุข จ.น่าน</v>
      </c>
      <c r="C172" s="71" t="str">
        <f>[45]รายการสรุป!$I$5</f>
        <v>0700349054420116</v>
      </c>
      <c r="D172" s="15"/>
      <c r="E172" s="52">
        <f t="shared" ref="E172" si="636">F172+G172</f>
        <v>1030000</v>
      </c>
      <c r="F172" s="52">
        <v>0</v>
      </c>
      <c r="G172" s="53">
        <f>[45]รายการสรุป!$J$5</f>
        <v>1030000</v>
      </c>
      <c r="H172" s="52">
        <f t="shared" ref="H172" si="637">J172+K172</f>
        <v>0</v>
      </c>
      <c r="I172" s="52">
        <f t="shared" ref="I172" si="638">H172*100/E172</f>
        <v>0</v>
      </c>
      <c r="J172" s="52">
        <v>0</v>
      </c>
      <c r="K172" s="52"/>
      <c r="L172" s="52">
        <f t="shared" ref="L172" si="639">N172+O172</f>
        <v>0</v>
      </c>
      <c r="M172" s="52">
        <f t="shared" ref="M172" si="640">L172*100/E172</f>
        <v>0</v>
      </c>
      <c r="N172" s="52">
        <v>0</v>
      </c>
      <c r="O172" s="52">
        <v>0</v>
      </c>
      <c r="P172" s="52">
        <f t="shared" ref="P172" si="641">R172+S172</f>
        <v>1030000</v>
      </c>
      <c r="Q172" s="52">
        <f t="shared" ref="Q172" si="642">P172*100/E172</f>
        <v>100</v>
      </c>
      <c r="R172" s="52">
        <f t="shared" ref="R172" si="643">F172-J172-N172</f>
        <v>0</v>
      </c>
      <c r="S172" s="52">
        <f t="shared" ref="S172" si="644">G172-K172-O172</f>
        <v>1030000</v>
      </c>
    </row>
    <row r="173" spans="1:19" ht="39" customHeight="1" x14ac:dyDescent="0.5">
      <c r="A173" s="9"/>
      <c r="B173" s="20" t="s">
        <v>48</v>
      </c>
      <c r="C173" s="20"/>
      <c r="D173" s="23"/>
      <c r="E173" s="21">
        <f>G173+F173</f>
        <v>997300</v>
      </c>
      <c r="F173" s="22">
        <f>SUM(F174)</f>
        <v>0</v>
      </c>
      <c r="G173" s="21">
        <f>SUM(G174:G175)</f>
        <v>997300</v>
      </c>
      <c r="H173" s="22">
        <f>K173+J173</f>
        <v>44945</v>
      </c>
      <c r="I173" s="22">
        <f>H173*100/E173</f>
        <v>4.5066680036097466</v>
      </c>
      <c r="J173" s="22">
        <f>SUM(J174)</f>
        <v>0</v>
      </c>
      <c r="K173" s="22">
        <f>SUM(K174:K175)</f>
        <v>44945</v>
      </c>
      <c r="L173" s="22">
        <f>O173+N173</f>
        <v>0</v>
      </c>
      <c r="M173" s="20"/>
      <c r="N173" s="22">
        <f>SUM(N174)</f>
        <v>0</v>
      </c>
      <c r="O173" s="22">
        <f>SUM(O174:O175)</f>
        <v>0</v>
      </c>
      <c r="P173" s="22">
        <f>S173+R173</f>
        <v>952355</v>
      </c>
      <c r="Q173" s="21">
        <f>P173*100/E173</f>
        <v>95.493331996390253</v>
      </c>
      <c r="R173" s="22">
        <f>F173-J173-N173</f>
        <v>0</v>
      </c>
      <c r="S173" s="22">
        <f>G173-K173-O173</f>
        <v>952355</v>
      </c>
    </row>
    <row r="174" spans="1:19" ht="48" customHeight="1" x14ac:dyDescent="0.5">
      <c r="A174" s="51">
        <v>139</v>
      </c>
      <c r="B174" s="11" t="str">
        <f>[46]รายการสรุป!$E$5</f>
        <v>สถานีสูบน้ำด้วยไฟฟ้าพร้อมระบบส่งน้ำบ้านหัวเสือ 2 (จัดหาน้ำสนับสนุนเกษตรแปลงใหญ่ต้นแบบ จังหวัดลำปาง ต.หัวเสือ อ.มาทะ จ.ลำปาง</v>
      </c>
      <c r="C174" s="11" t="str">
        <f>[46]รายการสรุป!$I$5</f>
        <v>07003280A5420018</v>
      </c>
      <c r="D174" s="15" t="s">
        <v>49</v>
      </c>
      <c r="E174" s="52">
        <f t="shared" ref="E174" si="645">F174+G174</f>
        <v>607300</v>
      </c>
      <c r="F174" s="52">
        <v>0</v>
      </c>
      <c r="G174" s="52">
        <f>[46]รายการสรุป!$J$5</f>
        <v>607300</v>
      </c>
      <c r="H174" s="52">
        <f t="shared" ref="H174" si="646">J174+K174</f>
        <v>44945</v>
      </c>
      <c r="I174" s="52">
        <f t="shared" ref="I174" si="647">H174*100/E174</f>
        <v>7.4007903836654041</v>
      </c>
      <c r="J174" s="52">
        <v>0</v>
      </c>
      <c r="K174" s="52">
        <f>44945</f>
        <v>44945</v>
      </c>
      <c r="L174" s="52">
        <f t="shared" ref="L174" si="648">N174+O174</f>
        <v>0</v>
      </c>
      <c r="M174" s="52">
        <f t="shared" ref="M174" si="649">L174*100/E174</f>
        <v>0</v>
      </c>
      <c r="N174" s="52">
        <v>0</v>
      </c>
      <c r="O174" s="52">
        <v>0</v>
      </c>
      <c r="P174" s="52">
        <f t="shared" ref="P174" si="650">R174+S174</f>
        <v>562355</v>
      </c>
      <c r="Q174" s="52">
        <f t="shared" ref="Q174" si="651">P174*100/E174</f>
        <v>92.599209616334591</v>
      </c>
      <c r="R174" s="52">
        <f t="shared" ref="R174" si="652">F174-J174-N174</f>
        <v>0</v>
      </c>
      <c r="S174" s="52">
        <f t="shared" ref="S174" si="653">G174-K174-O174</f>
        <v>562355</v>
      </c>
    </row>
    <row r="175" spans="1:19" ht="35.25" customHeight="1" x14ac:dyDescent="0.5">
      <c r="A175" s="51">
        <v>140</v>
      </c>
      <c r="B175" s="11" t="str">
        <f>[47]รายการสรุป!$E$5</f>
        <v>ฝายสบสถานพร้อมระบบส่งน้ำ ต.บัวใหญ่ อ.นาน้อย จ.น่าน</v>
      </c>
      <c r="C175" s="11" t="str">
        <f>[47]รายการสรุป!$I$5</f>
        <v>07003280A5420007</v>
      </c>
      <c r="D175" s="15" t="s">
        <v>64</v>
      </c>
      <c r="E175" s="52">
        <f t="shared" ref="E175" si="654">F175+G175</f>
        <v>390000</v>
      </c>
      <c r="F175" s="52">
        <v>0</v>
      </c>
      <c r="G175" s="52">
        <f>[47]รายการสรุป!$J$5</f>
        <v>390000</v>
      </c>
      <c r="H175" s="52">
        <f t="shared" ref="H175" si="655">J175+K175</f>
        <v>0</v>
      </c>
      <c r="I175" s="52">
        <f t="shared" ref="I175" si="656">H175*100/E175</f>
        <v>0</v>
      </c>
      <c r="J175" s="52">
        <v>0</v>
      </c>
      <c r="K175" s="52"/>
      <c r="L175" s="52">
        <f t="shared" ref="L175" si="657">N175+O175</f>
        <v>0</v>
      </c>
      <c r="M175" s="52">
        <f t="shared" ref="M175" si="658">L175*100/E175</f>
        <v>0</v>
      </c>
      <c r="N175" s="52">
        <v>0</v>
      </c>
      <c r="O175" s="52">
        <v>0</v>
      </c>
      <c r="P175" s="52">
        <f t="shared" ref="P175" si="659">R175+S175</f>
        <v>390000</v>
      </c>
      <c r="Q175" s="52">
        <f t="shared" ref="Q175" si="660">P175*100/E175</f>
        <v>100</v>
      </c>
      <c r="R175" s="52">
        <f t="shared" ref="R175" si="661">F175-J175-N175</f>
        <v>0</v>
      </c>
      <c r="S175" s="52">
        <f t="shared" ref="S175" si="662">G175-K175-O175</f>
        <v>390000</v>
      </c>
    </row>
    <row r="176" spans="1:19" ht="30.75" customHeight="1" x14ac:dyDescent="0.5">
      <c r="A176" s="9"/>
      <c r="B176" s="20" t="s">
        <v>53</v>
      </c>
      <c r="C176" s="20"/>
      <c r="D176" s="23"/>
      <c r="E176" s="21">
        <f>G176+F176</f>
        <v>1559000</v>
      </c>
      <c r="F176" s="22">
        <f>SUM(F177:F179)</f>
        <v>451000</v>
      </c>
      <c r="G176" s="21">
        <f>SUM(G177:G179)</f>
        <v>1108000</v>
      </c>
      <c r="H176" s="22">
        <f>K176+J176</f>
        <v>270747.06999999995</v>
      </c>
      <c r="I176" s="22">
        <f>H176*100/E176</f>
        <v>17.366713919178959</v>
      </c>
      <c r="J176" s="22">
        <f>SUM(J177:J179)</f>
        <v>0</v>
      </c>
      <c r="K176" s="22">
        <f>SUM(K177:K179)</f>
        <v>270747.06999999995</v>
      </c>
      <c r="L176" s="22">
        <f>O176+N176</f>
        <v>0</v>
      </c>
      <c r="M176" s="20"/>
      <c r="N176" s="22">
        <f>SUM(N177:N179)</f>
        <v>0</v>
      </c>
      <c r="O176" s="22">
        <f>SUM(O177:O179)</f>
        <v>0</v>
      </c>
      <c r="P176" s="22">
        <f>S176+R176</f>
        <v>1288252.9300000002</v>
      </c>
      <c r="Q176" s="21">
        <f>P176*100/E176</f>
        <v>82.633286080821051</v>
      </c>
      <c r="R176" s="22">
        <f>F176-J176-N176</f>
        <v>451000</v>
      </c>
      <c r="S176" s="22">
        <f>G176-K176-O176</f>
        <v>837252.93</v>
      </c>
    </row>
    <row r="177" spans="1:20" ht="30.75" customHeight="1" x14ac:dyDescent="0.5">
      <c r="A177" s="9">
        <v>141</v>
      </c>
      <c r="B177" s="11" t="str">
        <f>[48]รายการสรุป!$E$5</f>
        <v>บริหารจัดการน้ำ สำนักงาชลประทานที่ 2 ต.สวนดอก จ.ลำปาง</v>
      </c>
      <c r="C177" s="11" t="str">
        <f>[48]รายการสรุป!$I$5</f>
        <v>0700356001410094</v>
      </c>
      <c r="D177" s="15" t="s">
        <v>54</v>
      </c>
      <c r="E177" s="52">
        <f t="shared" ref="E177" si="663">F177+G177</f>
        <v>1000000</v>
      </c>
      <c r="F177" s="52">
        <v>0</v>
      </c>
      <c r="G177" s="52">
        <f>[48]รายการสรุป!$J$5</f>
        <v>1000000</v>
      </c>
      <c r="H177" s="52">
        <f t="shared" ref="H177" si="664">J177+K177</f>
        <v>270747.06999999995</v>
      </c>
      <c r="I177" s="52">
        <f t="shared" ref="I177" si="665">H177*100/E177</f>
        <v>27.074706999999997</v>
      </c>
      <c r="J177" s="52">
        <v>0</v>
      </c>
      <c r="K177" s="52">
        <f>14304+46599.41+12224+4020+19619.8+16904.8+49897+7935+9596+13293.81+11841.2+6860.4+5620+26713.8+16986+8331.85</f>
        <v>270747.06999999995</v>
      </c>
      <c r="L177" s="52">
        <f t="shared" ref="L177" si="666">N177+O177</f>
        <v>0</v>
      </c>
      <c r="M177" s="52">
        <f t="shared" ref="M177" si="667">L177*100/E177</f>
        <v>0</v>
      </c>
      <c r="N177" s="52">
        <v>0</v>
      </c>
      <c r="O177" s="52">
        <v>0</v>
      </c>
      <c r="P177" s="52">
        <f t="shared" ref="P177" si="668">R177+S177</f>
        <v>729252.93</v>
      </c>
      <c r="Q177" s="52">
        <f t="shared" ref="Q177" si="669">P177*100/E177</f>
        <v>72.925292999999996</v>
      </c>
      <c r="R177" s="52">
        <f t="shared" ref="R177" si="670">F177-J177-N177</f>
        <v>0</v>
      </c>
      <c r="S177" s="52">
        <f t="shared" ref="S177" si="671">G177-K177-O177</f>
        <v>729252.93</v>
      </c>
    </row>
    <row r="178" spans="1:20" ht="51" customHeight="1" x14ac:dyDescent="0.5">
      <c r="A178" s="9">
        <v>142</v>
      </c>
      <c r="B178" s="11" t="str">
        <f>[49]รายการสรุป!$E$5</f>
        <v>ปรับปรุงสะพานคอนกรีตเสริมเหล็กคลอง RMCกิ่วลม กม.8+204 โครงการส่งน้ำและบำรุงรักษากิ่วลม-กิ่วคอหมา ต.บุญนาคพัฒนา อ.เมือง จ.ลำปาง</v>
      </c>
      <c r="C178" s="11" t="str">
        <f>[49]รายการสรุป!$I$5</f>
        <v>0700356001410001</v>
      </c>
      <c r="D178" s="11" t="s">
        <v>74</v>
      </c>
      <c r="E178" s="52">
        <f t="shared" ref="E178" si="672">F178+G178</f>
        <v>108000</v>
      </c>
      <c r="F178" s="52">
        <v>0</v>
      </c>
      <c r="G178" s="52">
        <f>[49]รายการสรุป!$J$5</f>
        <v>108000</v>
      </c>
      <c r="H178" s="52">
        <f t="shared" ref="H178" si="673">J178+K178</f>
        <v>0</v>
      </c>
      <c r="I178" s="52">
        <f t="shared" ref="I178" si="674">H178*100/E178</f>
        <v>0</v>
      </c>
      <c r="J178" s="52">
        <v>0</v>
      </c>
      <c r="K178" s="52">
        <v>0</v>
      </c>
      <c r="L178" s="52">
        <f t="shared" ref="L178" si="675">N178+O178</f>
        <v>0</v>
      </c>
      <c r="M178" s="52">
        <f t="shared" ref="M178" si="676">L178*100/E178</f>
        <v>0</v>
      </c>
      <c r="N178" s="52">
        <v>0</v>
      </c>
      <c r="O178" s="52">
        <v>0</v>
      </c>
      <c r="P178" s="52">
        <f t="shared" ref="P178" si="677">R178+S178</f>
        <v>108000</v>
      </c>
      <c r="Q178" s="52">
        <f t="shared" ref="Q178" si="678">P178*100/E178</f>
        <v>100</v>
      </c>
      <c r="R178" s="52">
        <f t="shared" ref="R178" si="679">F178-J178-N178</f>
        <v>0</v>
      </c>
      <c r="S178" s="52">
        <f t="shared" ref="S178" si="680">G178-K178-O178</f>
        <v>108000</v>
      </c>
    </row>
    <row r="179" spans="1:20" ht="30.75" customHeight="1" x14ac:dyDescent="0.5">
      <c r="A179" s="9">
        <v>143</v>
      </c>
      <c r="B179" s="11" t="str">
        <f>[50]รายการสรุป!$E$5</f>
        <v>ซ่อมใหญ่เครื่องจักรเครื่องมือด้านบำรุงรักษา สำนักงานชลประทานที่ 2 ต.ชมพู อ.เมือง จ.ลำปาง</v>
      </c>
      <c r="C179" s="11" t="str">
        <f>[50]รายการสรุป!$I$5</f>
        <v>0700356001110002</v>
      </c>
      <c r="D179" s="15" t="s">
        <v>70</v>
      </c>
      <c r="E179" s="52">
        <f t="shared" ref="E179" si="681">F179+G179</f>
        <v>451000</v>
      </c>
      <c r="F179" s="52">
        <f>[50]รายการสรุป!$J$5</f>
        <v>451000</v>
      </c>
      <c r="G179" s="52"/>
      <c r="H179" s="52">
        <f t="shared" ref="H179" si="682">J179+K179</f>
        <v>0</v>
      </c>
      <c r="I179" s="52">
        <f t="shared" ref="I179" si="683">H179*100/E179</f>
        <v>0</v>
      </c>
      <c r="J179" s="52">
        <v>0</v>
      </c>
      <c r="K179" s="52">
        <v>0</v>
      </c>
      <c r="L179" s="52">
        <f t="shared" ref="L179" si="684">N179+O179</f>
        <v>0</v>
      </c>
      <c r="M179" s="52">
        <f t="shared" ref="M179" si="685">L179*100/E179</f>
        <v>0</v>
      </c>
      <c r="N179" s="52">
        <v>0</v>
      </c>
      <c r="O179" s="52">
        <v>0</v>
      </c>
      <c r="P179" s="52">
        <f t="shared" ref="P179" si="686">R179+S179</f>
        <v>451000</v>
      </c>
      <c r="Q179" s="52">
        <f t="shared" ref="Q179" si="687">P179*100/E179</f>
        <v>100</v>
      </c>
      <c r="R179" s="52">
        <f t="shared" ref="R179" si="688">F179-J179-N179</f>
        <v>451000</v>
      </c>
      <c r="S179" s="52">
        <f t="shared" ref="S179" si="689">G179-K179-O179</f>
        <v>0</v>
      </c>
    </row>
    <row r="180" spans="1:20" ht="33.75" customHeight="1" x14ac:dyDescent="0.5">
      <c r="A180" s="9"/>
      <c r="B180" s="77" t="s">
        <v>78</v>
      </c>
      <c r="C180" s="75"/>
      <c r="D180" s="78"/>
      <c r="E180" s="79">
        <f>G180+F180</f>
        <v>217200</v>
      </c>
      <c r="F180" s="76">
        <f>F181</f>
        <v>0</v>
      </c>
      <c r="G180" s="79">
        <f>G181</f>
        <v>217200</v>
      </c>
      <c r="H180" s="80">
        <f>K180+J180</f>
        <v>0</v>
      </c>
      <c r="I180" s="80">
        <f>H180*100/E180</f>
        <v>0</v>
      </c>
      <c r="J180" s="80">
        <f>J181</f>
        <v>0</v>
      </c>
      <c r="K180" s="80">
        <f>K181</f>
        <v>0</v>
      </c>
      <c r="L180" s="80">
        <f>O180+N180</f>
        <v>0</v>
      </c>
      <c r="M180" s="81"/>
      <c r="N180" s="80">
        <f>N181</f>
        <v>0</v>
      </c>
      <c r="O180" s="80">
        <f>O181</f>
        <v>0</v>
      </c>
      <c r="P180" s="80">
        <f>S180+R180</f>
        <v>217200</v>
      </c>
      <c r="Q180" s="79">
        <f>P180*100/E180</f>
        <v>100</v>
      </c>
      <c r="R180" s="80">
        <f>F180-J180-N180</f>
        <v>0</v>
      </c>
      <c r="S180" s="80">
        <f>G180-K180-O180</f>
        <v>217200</v>
      </c>
      <c r="T180" s="82"/>
    </row>
    <row r="181" spans="1:20" ht="32.25" customHeight="1" x14ac:dyDescent="0.5">
      <c r="A181" s="9">
        <v>144</v>
      </c>
      <c r="B181" s="11" t="str">
        <f>[51]รายการสรุป!$E$5</f>
        <v>ค่ารังวัดและออกหนังสือสำคัญที่หลวง(งานซ่อมเขตชลประทาน)</v>
      </c>
      <c r="C181" s="11" t="str">
        <f>[51]รายการสรุป!$I$5</f>
        <v>0700349056200002</v>
      </c>
      <c r="D181" s="15" t="s">
        <v>77</v>
      </c>
      <c r="E181" s="52">
        <f t="shared" ref="E181" si="690">F181+G181</f>
        <v>217200</v>
      </c>
      <c r="F181" s="52">
        <v>0</v>
      </c>
      <c r="G181" s="52">
        <f>[51]รายการสรุป!$J$5</f>
        <v>217200</v>
      </c>
      <c r="H181" s="52">
        <f t="shared" ref="H181" si="691">J181+K181</f>
        <v>0</v>
      </c>
      <c r="I181" s="52">
        <f t="shared" ref="I181" si="692">H181*100/E181</f>
        <v>0</v>
      </c>
      <c r="J181" s="52">
        <v>0</v>
      </c>
      <c r="K181" s="52">
        <v>0</v>
      </c>
      <c r="L181" s="52">
        <f t="shared" ref="L181" si="693">N181+O181</f>
        <v>0</v>
      </c>
      <c r="M181" s="52">
        <f t="shared" ref="M181" si="694">L181*100/E181</f>
        <v>0</v>
      </c>
      <c r="N181" s="52">
        <v>0</v>
      </c>
      <c r="O181" s="52">
        <v>0</v>
      </c>
      <c r="P181" s="52">
        <f t="shared" ref="P181" si="695">R181+S181</f>
        <v>217200</v>
      </c>
      <c r="Q181" s="52">
        <f t="shared" ref="Q181" si="696">P181*100/E181</f>
        <v>100</v>
      </c>
      <c r="R181" s="52">
        <f t="shared" ref="R181" si="697">F181-J181-N181</f>
        <v>0</v>
      </c>
      <c r="S181" s="52">
        <f t="shared" ref="S181" si="698">G181-K181-O181</f>
        <v>217200</v>
      </c>
    </row>
    <row r="182" spans="1:20" ht="30" customHeight="1" x14ac:dyDescent="0.5">
      <c r="A182" s="9"/>
      <c r="B182" s="11"/>
      <c r="C182" s="11"/>
      <c r="D182" s="15"/>
      <c r="E182" s="55"/>
      <c r="F182" s="55"/>
      <c r="G182" s="56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20" ht="30" customHeight="1" x14ac:dyDescent="0.5">
      <c r="A183" s="9"/>
      <c r="B183" s="11"/>
      <c r="C183" s="11"/>
      <c r="D183" s="15"/>
      <c r="E183" s="55"/>
      <c r="F183" s="55"/>
      <c r="G183" s="56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20" ht="31.5" customHeight="1" x14ac:dyDescent="0.5">
      <c r="A184" s="9"/>
      <c r="B184" s="11"/>
      <c r="C184" s="30"/>
      <c r="D184" s="49"/>
      <c r="E184" s="30"/>
      <c r="F184" s="30"/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20" ht="27.75" customHeight="1" x14ac:dyDescent="0.5">
      <c r="A185" s="12"/>
      <c r="B185" s="12"/>
      <c r="C185" s="33"/>
      <c r="D185" s="33"/>
      <c r="E185" s="8"/>
      <c r="F185" s="8"/>
      <c r="G185" s="1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7" spans="1:20" x14ac:dyDescent="0.5">
      <c r="Q187" s="88" t="s">
        <v>10</v>
      </c>
      <c r="R187" s="88"/>
      <c r="S187" s="88"/>
    </row>
    <row r="188" spans="1:20" x14ac:dyDescent="0.5">
      <c r="H188" s="16"/>
      <c r="Q188" s="88" t="s">
        <v>11</v>
      </c>
      <c r="R188" s="88"/>
      <c r="S188" s="88"/>
    </row>
    <row r="189" spans="1:20" x14ac:dyDescent="0.5">
      <c r="Q189" s="88" t="s">
        <v>12</v>
      </c>
      <c r="R189" s="88"/>
      <c r="S189" s="88"/>
    </row>
    <row r="190" spans="1:20" x14ac:dyDescent="0.5">
      <c r="Q190" s="88" t="s">
        <v>13</v>
      </c>
      <c r="R190" s="88"/>
      <c r="S190" s="88"/>
    </row>
  </sheetData>
  <mergeCells count="11">
    <mergeCell ref="Q187:S187"/>
    <mergeCell ref="Q188:S188"/>
    <mergeCell ref="Q189:S189"/>
    <mergeCell ref="Q190:S190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4"/>
  <sheetViews>
    <sheetView zoomScale="115" zoomScaleNormal="115" workbookViewId="0">
      <pane ySplit="3" topLeftCell="A4" activePane="bottomLeft" state="frozen"/>
      <selection activeCell="O29" sqref="O29"/>
      <selection pane="bottomLeft" activeCell="B10" sqref="B10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89" t="s">
        <v>86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1" x14ac:dyDescent="0.5">
      <c r="A2" s="90" t="s">
        <v>0</v>
      </c>
      <c r="B2" s="91"/>
      <c r="C2" s="86" t="s">
        <v>15</v>
      </c>
      <c r="D2" s="99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1" ht="26.25" customHeight="1" x14ac:dyDescent="0.5">
      <c r="A3" s="92"/>
      <c r="B3" s="93"/>
      <c r="C3" s="87" t="s">
        <v>16</v>
      </c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39765000</v>
      </c>
      <c r="F4" s="5">
        <f>SUM(F6:F6)</f>
        <v>0</v>
      </c>
      <c r="G4" s="5">
        <f>SUM(G6)</f>
        <v>39765000</v>
      </c>
      <c r="H4" s="5">
        <f t="shared" ref="H4" si="0">J4+K4</f>
        <v>0</v>
      </c>
      <c r="I4" s="5">
        <f>H4*100/E4</f>
        <v>0</v>
      </c>
      <c r="J4" s="5">
        <f>SUM(J6:J6)</f>
        <v>0</v>
      </c>
      <c r="K4" s="5">
        <f>SUM(K6)</f>
        <v>0</v>
      </c>
      <c r="L4" s="5">
        <f>N4+O4</f>
        <v>0</v>
      </c>
      <c r="M4" s="5">
        <f>L4*100/E4</f>
        <v>0</v>
      </c>
      <c r="N4" s="5">
        <f>SUM(N6:N6)</f>
        <v>0</v>
      </c>
      <c r="O4" s="5">
        <f>SUM(O6)</f>
        <v>0</v>
      </c>
      <c r="P4" s="5">
        <f>E4-H4-L4</f>
        <v>39765000</v>
      </c>
      <c r="Q4" s="5">
        <f>P4*100/E4</f>
        <v>100</v>
      </c>
      <c r="R4" s="5">
        <f t="shared" ref="R4" si="1">F4-J4-N4</f>
        <v>0</v>
      </c>
      <c r="S4" s="5">
        <f>G4-K4-O4</f>
        <v>39765000</v>
      </c>
      <c r="T4" s="16">
        <f>I4+Q4</f>
        <v>100</v>
      </c>
      <c r="U4" s="16">
        <f>P4+H4</f>
        <v>39765000</v>
      </c>
    </row>
    <row r="5" spans="1:21" ht="30" customHeight="1" x14ac:dyDescent="0.5">
      <c r="A5" s="13"/>
      <c r="B5" s="32" t="s">
        <v>80</v>
      </c>
      <c r="C5" s="15"/>
      <c r="D5" s="1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ht="50.25" customHeight="1" x14ac:dyDescent="0.5">
      <c r="A6" s="13"/>
      <c r="B6" s="11" t="s">
        <v>81</v>
      </c>
      <c r="C6" s="15" t="str">
        <f>[52]รายการสรุป!$I$5</f>
        <v>909094001564</v>
      </c>
      <c r="D6" s="15" t="s">
        <v>82</v>
      </c>
      <c r="E6" s="47">
        <f t="shared" ref="E6" si="2">F6+G6</f>
        <v>39765000</v>
      </c>
      <c r="F6" s="30">
        <v>0</v>
      </c>
      <c r="G6" s="48">
        <f>[52]รายการสรุป!$J$5</f>
        <v>39765000</v>
      </c>
      <c r="H6" s="47">
        <f t="shared" ref="H6" si="3">J6+K6</f>
        <v>0</v>
      </c>
      <c r="I6" s="47">
        <f t="shared" ref="I6" si="4">H6*100/E6</f>
        <v>0</v>
      </c>
      <c r="J6" s="30">
        <v>0</v>
      </c>
      <c r="K6" s="52">
        <v>0</v>
      </c>
      <c r="L6" s="52">
        <f t="shared" ref="L6" si="5">N6+O6</f>
        <v>0</v>
      </c>
      <c r="M6" s="52">
        <f t="shared" ref="M6" si="6">L6*100/E6</f>
        <v>0</v>
      </c>
      <c r="N6" s="52">
        <v>0</v>
      </c>
      <c r="O6" s="52">
        <v>0</v>
      </c>
      <c r="P6" s="52">
        <f t="shared" ref="P6" si="7">R6+S6</f>
        <v>39765000</v>
      </c>
      <c r="Q6" s="52">
        <f t="shared" ref="Q6" si="8">P6*100/E6</f>
        <v>100</v>
      </c>
      <c r="R6" s="52">
        <f t="shared" ref="R6:S6" si="9">F6-J6-N6</f>
        <v>0</v>
      </c>
      <c r="S6" s="52">
        <f t="shared" si="9"/>
        <v>39765000</v>
      </c>
    </row>
    <row r="7" spans="1:21" ht="27.75" customHeight="1" x14ac:dyDescent="0.5">
      <c r="A7" s="10"/>
      <c r="B7" s="12"/>
      <c r="C7" s="1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9" spans="1:21" x14ac:dyDescent="0.5">
      <c r="Q9" s="88" t="s">
        <v>10</v>
      </c>
      <c r="R9" s="88"/>
      <c r="S9" s="88"/>
    </row>
    <row r="10" spans="1:21" x14ac:dyDescent="0.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88" t="s">
        <v>11</v>
      </c>
      <c r="R10" s="88"/>
      <c r="S10" s="88"/>
    </row>
    <row r="11" spans="1:21" x14ac:dyDescent="0.5">
      <c r="Q11" s="88" t="s">
        <v>12</v>
      </c>
      <c r="R11" s="88"/>
      <c r="S11" s="88"/>
    </row>
    <row r="12" spans="1:21" x14ac:dyDescent="0.5">
      <c r="Q12" s="88" t="s">
        <v>13</v>
      </c>
      <c r="R12" s="88"/>
      <c r="S12" s="88"/>
    </row>
    <row r="13" spans="1:21" x14ac:dyDescent="0.5">
      <c r="Q13" s="85"/>
      <c r="R13" s="85"/>
      <c r="S13" s="85"/>
    </row>
    <row r="14" spans="1:21" x14ac:dyDescent="0.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0"/>
      <c r="R14" s="16"/>
      <c r="S14" s="16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8"/>
  <sheetViews>
    <sheetView zoomScale="115" zoomScaleNormal="115" workbookViewId="0">
      <pane ySplit="3" topLeftCell="A4" activePane="bottomLeft" state="frozen"/>
      <selection activeCell="O29" sqref="O29"/>
      <selection pane="bottomLeft" activeCell="B7" sqref="B7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7.12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89" t="s">
        <v>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1" x14ac:dyDescent="0.5">
      <c r="A2" s="90" t="s">
        <v>0</v>
      </c>
      <c r="B2" s="91"/>
      <c r="C2" s="61" t="s">
        <v>15</v>
      </c>
      <c r="D2" s="99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1" ht="26.25" customHeight="1" x14ac:dyDescent="0.5">
      <c r="A3" s="92"/>
      <c r="B3" s="93"/>
      <c r="C3" s="62" t="s">
        <v>16</v>
      </c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28296975.550000001</v>
      </c>
      <c r="F4" s="5">
        <f>SUM(F5:F5)</f>
        <v>0</v>
      </c>
      <c r="G4" s="5">
        <f>SUM(G5:G20)</f>
        <v>28296975.550000001</v>
      </c>
      <c r="H4" s="5">
        <f t="shared" ref="H4:H5" si="0">J4+K4</f>
        <v>9909701.2599999998</v>
      </c>
      <c r="I4" s="5">
        <f>H4*100/E4</f>
        <v>35.020354887361805</v>
      </c>
      <c r="J4" s="5">
        <f>SUM(J5:J5)</f>
        <v>0</v>
      </c>
      <c r="K4" s="5">
        <f>SUM(K5:K20)</f>
        <v>9909701.2599999998</v>
      </c>
      <c r="L4" s="5">
        <f>N4+O4</f>
        <v>0</v>
      </c>
      <c r="M4" s="5">
        <f>L4*100/E4</f>
        <v>0</v>
      </c>
      <c r="N4" s="5">
        <f>SUM(N5:N5)</f>
        <v>0</v>
      </c>
      <c r="O4" s="5">
        <f>SUM(O5:O16)</f>
        <v>0</v>
      </c>
      <c r="P4" s="5">
        <f>E4-H4-L4</f>
        <v>18387274.289999999</v>
      </c>
      <c r="Q4" s="5">
        <f>P4*100/E4</f>
        <v>64.979645112638195</v>
      </c>
      <c r="R4" s="5">
        <f t="shared" ref="R4:S5" si="1">F4-J4-N4</f>
        <v>0</v>
      </c>
      <c r="S4" s="5">
        <f>G4-K4-O4</f>
        <v>18387274.289999999</v>
      </c>
      <c r="T4" s="16">
        <f>I4+Q4</f>
        <v>100</v>
      </c>
      <c r="U4" s="16">
        <f>P4+H4</f>
        <v>28296975.549999997</v>
      </c>
    </row>
    <row r="5" spans="1:21" ht="54.75" customHeight="1" x14ac:dyDescent="0.5">
      <c r="A5" s="13">
        <v>1</v>
      </c>
      <c r="B5" s="63" t="str">
        <f>[53]รายการสรุป!$E$5</f>
        <v>กำจัดวัชพืชภายในอ่างเก็บน้ำเขื่อนกิ่วลม โครงการส่งน้ำและบำรุงรักษากิ่วลม-กิ่วคอหมา ต.บ้านแลง อ.เมือง จ.ลำปาง</v>
      </c>
      <c r="C5" s="64" t="str">
        <f>[53]รายการสรุป!$I$5</f>
        <v>0700356001410669</v>
      </c>
      <c r="D5" s="66" t="s">
        <v>57</v>
      </c>
      <c r="E5" s="64">
        <f t="shared" ref="E5" si="2">F5+G5</f>
        <v>547565.55000000005</v>
      </c>
      <c r="F5" s="64">
        <v>0</v>
      </c>
      <c r="G5" s="65">
        <f>[53]รายการสรุป!$J$5</f>
        <v>547565.55000000005</v>
      </c>
      <c r="H5" s="64">
        <f t="shared" si="0"/>
        <v>547565.55000000005</v>
      </c>
      <c r="I5" s="64">
        <f t="shared" ref="I5" si="3">H5*100/E5</f>
        <v>100</v>
      </c>
      <c r="J5" s="64">
        <v>0</v>
      </c>
      <c r="K5" s="64">
        <f>243360+156240+71665+4480+16340+16340+17060.55+22080</f>
        <v>547565.55000000005</v>
      </c>
      <c r="L5" s="64">
        <f t="shared" ref="L5" si="4">N5+O5</f>
        <v>0</v>
      </c>
      <c r="M5" s="64">
        <f t="shared" ref="M5" si="5">L5*100/E5</f>
        <v>0</v>
      </c>
      <c r="N5" s="64">
        <v>0</v>
      </c>
      <c r="O5" s="64">
        <v>0</v>
      </c>
      <c r="P5" s="64">
        <f t="shared" ref="P5" si="6">R5+S5</f>
        <v>0</v>
      </c>
      <c r="Q5" s="64">
        <f t="shared" ref="Q5" si="7">P5*100/E5</f>
        <v>0</v>
      </c>
      <c r="R5" s="64">
        <f t="shared" si="1"/>
        <v>0</v>
      </c>
      <c r="S5" s="64">
        <f t="shared" si="1"/>
        <v>0</v>
      </c>
    </row>
    <row r="6" spans="1:21" ht="44.25" customHeight="1" x14ac:dyDescent="0.5">
      <c r="A6" s="13">
        <v>2</v>
      </c>
      <c r="B6" s="63" t="str">
        <f>[53]รายการสรุป!$E$6</f>
        <v>กำจัดวัชพืชโครงการส่งน้ำและบำรุงรักษาแม่วัง ต.บ้านแลง อ.เมือง จ.ลำปาง</v>
      </c>
      <c r="C6" s="64" t="str">
        <f>[53]รายการสรุป!$I$6</f>
        <v>0700356001410668</v>
      </c>
      <c r="D6" s="66" t="s">
        <v>70</v>
      </c>
      <c r="E6" s="64">
        <f t="shared" ref="E6" si="8">F6+G6</f>
        <v>692000</v>
      </c>
      <c r="F6" s="64">
        <v>0</v>
      </c>
      <c r="G6" s="65">
        <f>[53]รายการสรุป!$J$6</f>
        <v>692000</v>
      </c>
      <c r="H6" s="64">
        <f t="shared" ref="H6" si="9">J6+K6</f>
        <v>291855</v>
      </c>
      <c r="I6" s="64">
        <f t="shared" ref="I6" si="10">H6*100/E6</f>
        <v>42.175578034682083</v>
      </c>
      <c r="J6" s="64">
        <v>0</v>
      </c>
      <c r="K6" s="64">
        <f>39495+252360</f>
        <v>291855</v>
      </c>
      <c r="L6" s="64">
        <f t="shared" ref="L6" si="11">N6+O6</f>
        <v>0</v>
      </c>
      <c r="M6" s="64">
        <f t="shared" ref="M6" si="12">L6*100/E6</f>
        <v>0</v>
      </c>
      <c r="N6" s="64">
        <v>0</v>
      </c>
      <c r="O6" s="64">
        <v>0</v>
      </c>
      <c r="P6" s="64">
        <f t="shared" ref="P6" si="13">R6+S6</f>
        <v>400145</v>
      </c>
      <c r="Q6" s="64">
        <f t="shared" ref="Q6" si="14">P6*100/E6</f>
        <v>57.824421965317917</v>
      </c>
      <c r="R6" s="64">
        <f t="shared" ref="R6" si="15">F6-J6-N6</f>
        <v>0</v>
      </c>
      <c r="S6" s="64">
        <f t="shared" ref="S6" si="16">G6-K6-O6</f>
        <v>400145</v>
      </c>
    </row>
    <row r="7" spans="1:21" ht="54.75" customHeight="1" x14ac:dyDescent="0.5">
      <c r="A7" s="13">
        <v>3</v>
      </c>
      <c r="B7" s="63" t="str">
        <f>[53]รายการสรุป!$E$7</f>
        <v>กำจัดวัชพืชคลองระบายห้วยผาตันโครงการส่งน้ำและบำรุงรักษากิ่วลม-กิ่วคอหมา ต.บุญนาคพัฒนา อ.เมือง จ.ลำปาง</v>
      </c>
      <c r="C7" s="64" t="str">
        <f>[53]รายการสรุป!$I$7</f>
        <v>0700356001410670</v>
      </c>
      <c r="D7" s="66" t="s">
        <v>70</v>
      </c>
      <c r="E7" s="64">
        <f t="shared" ref="E7:E14" si="17">F7+G7</f>
        <v>82000</v>
      </c>
      <c r="F7" s="64">
        <v>0</v>
      </c>
      <c r="G7" s="65">
        <f>[53]รายการสรุป!$J$7</f>
        <v>82000</v>
      </c>
      <c r="H7" s="64">
        <f t="shared" ref="H7:H14" si="18">J7+K7</f>
        <v>75951</v>
      </c>
      <c r="I7" s="64">
        <f t="shared" ref="I7:I14" si="19">H7*100/E7</f>
        <v>92.623170731707319</v>
      </c>
      <c r="J7" s="64">
        <v>0</v>
      </c>
      <c r="K7" s="64">
        <f>3996+47668+3260+21027</f>
        <v>75951</v>
      </c>
      <c r="L7" s="64">
        <f t="shared" ref="L7:L14" si="20">N7+O7</f>
        <v>0</v>
      </c>
      <c r="M7" s="64">
        <f t="shared" ref="M7:M14" si="21">L7*100/E7</f>
        <v>0</v>
      </c>
      <c r="N7" s="64">
        <v>0</v>
      </c>
      <c r="O7" s="64">
        <v>0</v>
      </c>
      <c r="P7" s="64">
        <f t="shared" ref="P7:P14" si="22">R7+S7</f>
        <v>6049</v>
      </c>
      <c r="Q7" s="64">
        <f t="shared" ref="Q7:Q14" si="23">P7*100/E7</f>
        <v>7.376829268292683</v>
      </c>
      <c r="R7" s="64">
        <f t="shared" ref="R7:R14" si="24">F7-J7-N7</f>
        <v>0</v>
      </c>
      <c r="S7" s="64">
        <f t="shared" ref="S7:S14" si="25">G7-K7-O7</f>
        <v>6049</v>
      </c>
    </row>
    <row r="8" spans="1:21" ht="54.75" customHeight="1" x14ac:dyDescent="0.5">
      <c r="A8" s="13">
        <v>4</v>
      </c>
      <c r="B8" s="63" t="str">
        <f>[53]รายการสรุป!$E$8</f>
        <v>กำจัดวัชพืชคลองระบายห้วยหลวงโครงการส่งน้ำและบำรุงรักษากิ่วลม-กิ่วคอหมา ต.บุญนาคพัฒนา อ.เมือง จ.ลำปาง</v>
      </c>
      <c r="C8" s="64" t="str">
        <f>[53]รายการสรุป!$I$8</f>
        <v>0700356001410671</v>
      </c>
      <c r="D8" s="66" t="s">
        <v>70</v>
      </c>
      <c r="E8" s="64">
        <f t="shared" si="17"/>
        <v>109000</v>
      </c>
      <c r="F8" s="64">
        <v>0</v>
      </c>
      <c r="G8" s="65">
        <f>[53]รายการสรุป!$J$8</f>
        <v>109000</v>
      </c>
      <c r="H8" s="64">
        <f t="shared" si="18"/>
        <v>68072</v>
      </c>
      <c r="I8" s="64">
        <f t="shared" si="19"/>
        <v>62.451376146788988</v>
      </c>
      <c r="J8" s="64">
        <v>0</v>
      </c>
      <c r="K8" s="64">
        <f>14796+53276</f>
        <v>68072</v>
      </c>
      <c r="L8" s="64">
        <f t="shared" si="20"/>
        <v>0</v>
      </c>
      <c r="M8" s="64">
        <f t="shared" si="21"/>
        <v>0</v>
      </c>
      <c r="N8" s="64">
        <v>0</v>
      </c>
      <c r="O8" s="64">
        <v>0</v>
      </c>
      <c r="P8" s="64">
        <f t="shared" si="22"/>
        <v>40928</v>
      </c>
      <c r="Q8" s="64">
        <f t="shared" si="23"/>
        <v>37.548623853211012</v>
      </c>
      <c r="R8" s="64">
        <f t="shared" si="24"/>
        <v>0</v>
      </c>
      <c r="S8" s="64">
        <f t="shared" si="25"/>
        <v>40928</v>
      </c>
    </row>
    <row r="9" spans="1:21" ht="54.75" customHeight="1" x14ac:dyDescent="0.5">
      <c r="A9" s="13">
        <v>5</v>
      </c>
      <c r="B9" s="63" t="str">
        <f>[53]รายการสรุป!$E$9</f>
        <v>กำจัดวัชพืชคลองระบายห้วยแม่ตุ๋ยโครงการส่งน้ำและบำรุงรักษากิ่วลม-กิ่วคอหมา ต.บ้านเป้า อ.เมือง จ.ลำปาง</v>
      </c>
      <c r="C9" s="64" t="str">
        <f>[53]รายการสรุป!$I$9</f>
        <v>0700356001410672</v>
      </c>
      <c r="D9" s="66" t="s">
        <v>70</v>
      </c>
      <c r="E9" s="64">
        <f t="shared" si="17"/>
        <v>173000</v>
      </c>
      <c r="F9" s="64">
        <v>0</v>
      </c>
      <c r="G9" s="65">
        <f>[53]รายการสรุป!$J$9</f>
        <v>173000</v>
      </c>
      <c r="H9" s="64">
        <f t="shared" si="18"/>
        <v>111391</v>
      </c>
      <c r="I9" s="64">
        <f t="shared" si="19"/>
        <v>64.3878612716763</v>
      </c>
      <c r="J9" s="64">
        <v>0</v>
      </c>
      <c r="K9" s="64">
        <f>30075+81316</f>
        <v>111391</v>
      </c>
      <c r="L9" s="64">
        <f t="shared" si="20"/>
        <v>0</v>
      </c>
      <c r="M9" s="64">
        <f t="shared" si="21"/>
        <v>0</v>
      </c>
      <c r="N9" s="64">
        <v>0</v>
      </c>
      <c r="O9" s="64">
        <v>0</v>
      </c>
      <c r="P9" s="64">
        <f t="shared" si="22"/>
        <v>61609</v>
      </c>
      <c r="Q9" s="64">
        <f t="shared" si="23"/>
        <v>35.6121387283237</v>
      </c>
      <c r="R9" s="64">
        <f t="shared" si="24"/>
        <v>0</v>
      </c>
      <c r="S9" s="64">
        <f t="shared" si="25"/>
        <v>61609</v>
      </c>
    </row>
    <row r="10" spans="1:21" ht="54.75" customHeight="1" x14ac:dyDescent="0.5">
      <c r="A10" s="13">
        <v>6</v>
      </c>
      <c r="B10" s="63" t="str">
        <f>[53]รายการสรุป!$E$10</f>
        <v>กำจัดวัชพืชบริเวณโครงการส่งน้ำและบำรุงรักษาแม่ลาว ต.ดงมะดะ อ.แม่ลาว จ.เชียงราย</v>
      </c>
      <c r="C10" s="64" t="str">
        <f>[53]รายการสรุป!$I$10</f>
        <v>0700356001410673</v>
      </c>
      <c r="D10" s="66" t="s">
        <v>70</v>
      </c>
      <c r="E10" s="64">
        <f t="shared" si="17"/>
        <v>692000</v>
      </c>
      <c r="F10" s="64">
        <v>0</v>
      </c>
      <c r="G10" s="65">
        <f>[53]รายการสรุป!$J$10</f>
        <v>692000</v>
      </c>
      <c r="H10" s="64">
        <f t="shared" si="18"/>
        <v>472855</v>
      </c>
      <c r="I10" s="64">
        <f t="shared" si="19"/>
        <v>68.331647398843927</v>
      </c>
      <c r="J10" s="64">
        <v>0</v>
      </c>
      <c r="K10" s="64">
        <f>39495+252360+181000</f>
        <v>472855</v>
      </c>
      <c r="L10" s="64">
        <f t="shared" si="20"/>
        <v>0</v>
      </c>
      <c r="M10" s="64">
        <f t="shared" si="21"/>
        <v>0</v>
      </c>
      <c r="N10" s="64">
        <v>0</v>
      </c>
      <c r="O10" s="64">
        <v>0</v>
      </c>
      <c r="P10" s="64">
        <f t="shared" si="22"/>
        <v>219145</v>
      </c>
      <c r="Q10" s="64">
        <f t="shared" si="23"/>
        <v>31.668352601156069</v>
      </c>
      <c r="R10" s="64">
        <f t="shared" si="24"/>
        <v>0</v>
      </c>
      <c r="S10" s="64">
        <f t="shared" si="25"/>
        <v>219145</v>
      </c>
    </row>
    <row r="11" spans="1:21" ht="44.25" customHeight="1" x14ac:dyDescent="0.5">
      <c r="A11" s="13">
        <v>7</v>
      </c>
      <c r="B11" s="63" t="str">
        <f>[53]รายการสรุป!$E$11</f>
        <v>กำจัดวัชพืชโครงการชลประทานน่าน ต.ไชยสถาน อ.เมือง จ.น่าน</v>
      </c>
      <c r="C11" s="64" t="str">
        <f>[53]รายการสรุป!$I$11</f>
        <v>0700356001410674</v>
      </c>
      <c r="D11" s="66" t="s">
        <v>70</v>
      </c>
      <c r="E11" s="64">
        <f t="shared" si="17"/>
        <v>486000</v>
      </c>
      <c r="F11" s="64">
        <v>0</v>
      </c>
      <c r="G11" s="65">
        <f>[53]รายการสรุป!$J$11</f>
        <v>486000</v>
      </c>
      <c r="H11" s="64">
        <f t="shared" si="18"/>
        <v>313518</v>
      </c>
      <c r="I11" s="64">
        <f t="shared" si="19"/>
        <v>64.50987654320987</v>
      </c>
      <c r="J11" s="64">
        <v>0</v>
      </c>
      <c r="K11" s="64">
        <f>69570+243948</f>
        <v>313518</v>
      </c>
      <c r="L11" s="64">
        <f t="shared" si="20"/>
        <v>0</v>
      </c>
      <c r="M11" s="64">
        <f t="shared" si="21"/>
        <v>0</v>
      </c>
      <c r="N11" s="64">
        <v>0</v>
      </c>
      <c r="O11" s="64">
        <v>0</v>
      </c>
      <c r="P11" s="64">
        <f t="shared" si="22"/>
        <v>172482</v>
      </c>
      <c r="Q11" s="64">
        <f t="shared" si="23"/>
        <v>35.490123456790123</v>
      </c>
      <c r="R11" s="64">
        <f t="shared" si="24"/>
        <v>0</v>
      </c>
      <c r="S11" s="64">
        <f t="shared" si="25"/>
        <v>172482</v>
      </c>
    </row>
    <row r="12" spans="1:21" ht="41.25" customHeight="1" x14ac:dyDescent="0.5">
      <c r="A12" s="13">
        <v>8</v>
      </c>
      <c r="B12" s="63" t="str">
        <f>[53]รายการสรุป!$E$12</f>
        <v>กำจัดวัชพืชบริเวณโครงการชลประทานลำปาง ต.บ่อแฮ้ว อ.เมือง จ.ลำปาง</v>
      </c>
      <c r="C12" s="64" t="str">
        <f>[53]รายการสรุป!$I$12</f>
        <v>0700356001410675</v>
      </c>
      <c r="D12" s="66" t="s">
        <v>70</v>
      </c>
      <c r="E12" s="64">
        <f t="shared" si="17"/>
        <v>609000</v>
      </c>
      <c r="F12" s="64">
        <v>0</v>
      </c>
      <c r="G12" s="65">
        <f>[53]รายการสรุป!$J$12</f>
        <v>609000</v>
      </c>
      <c r="H12" s="64">
        <f t="shared" si="18"/>
        <v>321930</v>
      </c>
      <c r="I12" s="64">
        <f t="shared" si="19"/>
        <v>52.862068965517238</v>
      </c>
      <c r="J12" s="64">
        <v>0</v>
      </c>
      <c r="K12" s="64">
        <f>69570+252360</f>
        <v>321930</v>
      </c>
      <c r="L12" s="64">
        <f t="shared" si="20"/>
        <v>0</v>
      </c>
      <c r="M12" s="64">
        <f t="shared" si="21"/>
        <v>0</v>
      </c>
      <c r="N12" s="64">
        <v>0</v>
      </c>
      <c r="O12" s="64">
        <v>0</v>
      </c>
      <c r="P12" s="64">
        <f t="shared" si="22"/>
        <v>287070</v>
      </c>
      <c r="Q12" s="64">
        <f t="shared" si="23"/>
        <v>47.137931034482762</v>
      </c>
      <c r="R12" s="64">
        <f t="shared" si="24"/>
        <v>0</v>
      </c>
      <c r="S12" s="64">
        <f t="shared" si="25"/>
        <v>287070</v>
      </c>
    </row>
    <row r="13" spans="1:21" ht="54.75" customHeight="1" x14ac:dyDescent="0.5">
      <c r="A13" s="13">
        <v>9</v>
      </c>
      <c r="B13" s="63" t="str">
        <f>[53]รายการสรุป!$E$13</f>
        <v>กำจัดวัชพืชโครงการพัฒนาการเกษตรแม่สาย โครงการชลประทานเชียงราย ต.แม่สาย อ.แม่สาย จ.เชียงราย</v>
      </c>
      <c r="C13" s="64" t="str">
        <f>[53]รายการสรุป!$I$13</f>
        <v>0700356001410B74</v>
      </c>
      <c r="D13" s="66" t="s">
        <v>70</v>
      </c>
      <c r="E13" s="64">
        <f t="shared" si="17"/>
        <v>325000</v>
      </c>
      <c r="F13" s="64">
        <v>0</v>
      </c>
      <c r="G13" s="65">
        <f>[53]รายการสรุป!$J$13</f>
        <v>325000</v>
      </c>
      <c r="H13" s="64">
        <f t="shared" si="18"/>
        <v>208503</v>
      </c>
      <c r="I13" s="64">
        <f t="shared" si="19"/>
        <v>64.154769230769233</v>
      </c>
      <c r="J13" s="64">
        <v>0</v>
      </c>
      <c r="K13" s="64">
        <f>48675+159828</f>
        <v>208503</v>
      </c>
      <c r="L13" s="64">
        <f t="shared" si="20"/>
        <v>0</v>
      </c>
      <c r="M13" s="64">
        <f t="shared" si="21"/>
        <v>0</v>
      </c>
      <c r="N13" s="64">
        <v>0</v>
      </c>
      <c r="O13" s="64">
        <v>0</v>
      </c>
      <c r="P13" s="64">
        <f t="shared" si="22"/>
        <v>116497</v>
      </c>
      <c r="Q13" s="64">
        <f t="shared" si="23"/>
        <v>35.845230769230767</v>
      </c>
      <c r="R13" s="64">
        <f t="shared" si="24"/>
        <v>0</v>
      </c>
      <c r="S13" s="64">
        <f t="shared" si="25"/>
        <v>116497</v>
      </c>
    </row>
    <row r="14" spans="1:21" ht="54.75" customHeight="1" x14ac:dyDescent="0.5">
      <c r="A14" s="13">
        <v>10</v>
      </c>
      <c r="B14" s="63" t="str">
        <f>[53]รายการสรุป!$E$14</f>
        <v>กำจัดวัชพืชคลอง LMCอ่างเก็บน้ำแม่ต๊าก โครงการชลประทานเชียงราย ต.ดอนศิลา อ.เวียงชัย จ.เชียงราย</v>
      </c>
      <c r="C14" s="64" t="str">
        <f>[53]รายการสรุป!$I$14</f>
        <v>0700356001410B75</v>
      </c>
      <c r="D14" s="66" t="s">
        <v>70</v>
      </c>
      <c r="E14" s="64">
        <f t="shared" si="17"/>
        <v>173000</v>
      </c>
      <c r="F14" s="64">
        <v>0</v>
      </c>
      <c r="G14" s="65">
        <f>[53]รายการสรุป!$J$14</f>
        <v>173000</v>
      </c>
      <c r="H14" s="64">
        <f t="shared" si="18"/>
        <v>156891</v>
      </c>
      <c r="I14" s="64">
        <f t="shared" si="19"/>
        <v>90.688439306358376</v>
      </c>
      <c r="J14" s="64">
        <v>0</v>
      </c>
      <c r="K14" s="64">
        <f>30075+81316+45500</f>
        <v>156891</v>
      </c>
      <c r="L14" s="64">
        <f t="shared" si="20"/>
        <v>0</v>
      </c>
      <c r="M14" s="64">
        <f t="shared" si="21"/>
        <v>0</v>
      </c>
      <c r="N14" s="64">
        <v>0</v>
      </c>
      <c r="O14" s="64">
        <v>0</v>
      </c>
      <c r="P14" s="64">
        <f t="shared" si="22"/>
        <v>16109</v>
      </c>
      <c r="Q14" s="64">
        <f t="shared" si="23"/>
        <v>9.3115606936416189</v>
      </c>
      <c r="R14" s="64">
        <f t="shared" si="24"/>
        <v>0</v>
      </c>
      <c r="S14" s="64">
        <f t="shared" si="25"/>
        <v>16109</v>
      </c>
    </row>
    <row r="15" spans="1:21" ht="51" customHeight="1" x14ac:dyDescent="0.5">
      <c r="A15" s="13">
        <v>11</v>
      </c>
      <c r="B15" s="11" t="str">
        <f>[54]รายการสรุป!$E$5</f>
        <v>ขุดลอกคลองโดยรถขุดดำเนินการเองคลองส่งน้ำแม่วังฝั่งขวาโครงการส่งน้ำและบำรุงรักษาแม่วัง จ.ลำปาง</v>
      </c>
      <c r="C15" s="64" t="str">
        <f>[54]รายการสรุป!$I$5</f>
        <v>0700349052410W61</v>
      </c>
      <c r="D15" s="66" t="s">
        <v>60</v>
      </c>
      <c r="E15" s="64">
        <f t="shared" ref="E15" si="26">F15+G15</f>
        <v>117100</v>
      </c>
      <c r="F15" s="64">
        <v>0</v>
      </c>
      <c r="G15" s="65">
        <f>[54]รายการสรุป!$J$5</f>
        <v>117100</v>
      </c>
      <c r="H15" s="64">
        <f t="shared" ref="H15" si="27">J15+K15</f>
        <v>105086.75</v>
      </c>
      <c r="I15" s="64">
        <f t="shared" ref="I15" si="28">H15*100/E15</f>
        <v>89.741033304867628</v>
      </c>
      <c r="J15" s="64">
        <v>0</v>
      </c>
      <c r="K15" s="64">
        <f>10647+3570.65+90869.1</f>
        <v>105086.75</v>
      </c>
      <c r="L15" s="64">
        <f t="shared" ref="L15" si="29">N15+O15</f>
        <v>0</v>
      </c>
      <c r="M15" s="64">
        <f t="shared" ref="M15" si="30">L15*100/E15</f>
        <v>0</v>
      </c>
      <c r="N15" s="64">
        <v>0</v>
      </c>
      <c r="O15" s="64">
        <v>0</v>
      </c>
      <c r="P15" s="64">
        <f t="shared" ref="P15" si="31">R15+S15</f>
        <v>12013.25</v>
      </c>
      <c r="Q15" s="64">
        <f t="shared" ref="Q15" si="32">P15*100/E15</f>
        <v>10.258966695132365</v>
      </c>
      <c r="R15" s="64">
        <f t="shared" ref="R15" si="33">F15-J15-N15</f>
        <v>0</v>
      </c>
      <c r="S15" s="64">
        <f t="shared" ref="S15" si="34">G15-K15-O15</f>
        <v>12013.25</v>
      </c>
    </row>
    <row r="16" spans="1:21" ht="50.25" customHeight="1" x14ac:dyDescent="0.5">
      <c r="A16" s="13">
        <v>12</v>
      </c>
      <c r="B16" s="39" t="str">
        <f>[54]รายการสรุป!$E$6</f>
        <v>ขุดลอกคลองโดยเรือขุดดำเนินการเอง แม่น้ำวังท้ายเขื่อนกิ่วคอหมา กม.19+000 - กม.24+500 โครงการส่งน่ำน้ำบำรุงรักษากิ่วลม กิ่วคอหมา ต.บ้านสา อ.แจ้ห่ม จ.ลำปาง</v>
      </c>
      <c r="C16" s="15" t="str">
        <f>[54]รายการสรุป!$I$6</f>
        <v>0700349052410W13</v>
      </c>
      <c r="D16" s="29" t="s">
        <v>61</v>
      </c>
      <c r="E16" s="64">
        <f t="shared" ref="E16" si="35">F16+G16</f>
        <v>7100000</v>
      </c>
      <c r="F16" s="64">
        <v>0</v>
      </c>
      <c r="G16" s="65">
        <f>[54]รายการสรุป!$J$6</f>
        <v>7100000</v>
      </c>
      <c r="H16" s="64">
        <f t="shared" ref="H16" si="36">J16+K16</f>
        <v>6845877.96</v>
      </c>
      <c r="I16" s="64">
        <f t="shared" ref="I16" si="37">H16*100/E16</f>
        <v>96.420816338028175</v>
      </c>
      <c r="J16" s="64">
        <v>0</v>
      </c>
      <c r="K16" s="47">
        <f>81485+237330+448430+499040+237330+241560+10500+240930+800+2600+237330+116868+26000+11041+240930+18795.01+5900+7580+442000+252360+251730+85300.75+43203.9+255330+251730+21680+474100+38087.6+252360+74986.65+480000+373874+254430+147031+40071.85+44005.2+15960+204692+169039+9457</f>
        <v>6845877.96</v>
      </c>
      <c r="L16" s="47">
        <f t="shared" ref="L16" si="38">N16+O16</f>
        <v>0</v>
      </c>
      <c r="M16" s="47">
        <f t="shared" ref="M16" si="39">L16*100/E16</f>
        <v>0</v>
      </c>
      <c r="N16" s="47">
        <v>0</v>
      </c>
      <c r="O16" s="47">
        <v>0</v>
      </c>
      <c r="P16" s="47">
        <f t="shared" ref="P16" si="40">R16+S16</f>
        <v>254122.04000000004</v>
      </c>
      <c r="Q16" s="47">
        <f t="shared" ref="Q16" si="41">P16*100/E16</f>
        <v>3.5791836619718316</v>
      </c>
      <c r="R16" s="47">
        <f t="shared" ref="R16" si="42">F16-J16-N16</f>
        <v>0</v>
      </c>
      <c r="S16" s="47">
        <f t="shared" ref="S16" si="43">G16-K16-O16</f>
        <v>254122.04000000004</v>
      </c>
    </row>
    <row r="17" spans="1:19" ht="33" customHeight="1" x14ac:dyDescent="0.5">
      <c r="A17" s="13">
        <v>13</v>
      </c>
      <c r="B17" s="39" t="str">
        <f>[54]รายการสรุป!$E$7</f>
        <v>เพิ่มประสิทธิภาพการกักเก็บน้ำอ่างเก็บน้ำเขื่อนกิ่วลม จ.ลำปาง</v>
      </c>
      <c r="C17" s="73" t="str">
        <f>[54]รายการสรุป!$I$7</f>
        <v>0700349052410ZJ1</v>
      </c>
      <c r="D17" s="66" t="s">
        <v>76</v>
      </c>
      <c r="E17" s="52">
        <f t="shared" ref="E17:E18" si="44">F17+G17</f>
        <v>1779770</v>
      </c>
      <c r="F17" s="52">
        <v>0</v>
      </c>
      <c r="G17" s="53">
        <f>[54]รายการสรุป!$J$7</f>
        <v>1779770</v>
      </c>
      <c r="H17" s="72">
        <f t="shared" ref="H17:H18" si="45">J17+K17</f>
        <v>84120</v>
      </c>
      <c r="I17" s="72">
        <f t="shared" ref="I17:I18" si="46">H17*100/E17</f>
        <v>4.7264534181382984</v>
      </c>
      <c r="J17" s="72">
        <v>0</v>
      </c>
      <c r="K17" s="72">
        <f>84120</f>
        <v>84120</v>
      </c>
      <c r="L17" s="72">
        <f t="shared" ref="L17:L18" si="47">N17+O17</f>
        <v>0</v>
      </c>
      <c r="M17" s="72">
        <f t="shared" ref="M17:M18" si="48">L17*100/E17</f>
        <v>0</v>
      </c>
      <c r="N17" s="72">
        <v>0</v>
      </c>
      <c r="O17" s="72">
        <v>0</v>
      </c>
      <c r="P17" s="72">
        <f t="shared" ref="P17:P18" si="49">R17+S17</f>
        <v>1695650</v>
      </c>
      <c r="Q17" s="72">
        <f t="shared" ref="Q17:Q18" si="50">P17*100/E17</f>
        <v>95.273546581861694</v>
      </c>
      <c r="R17" s="72">
        <f t="shared" ref="R17:R18" si="51">F17-J17-N17</f>
        <v>0</v>
      </c>
      <c r="S17" s="72">
        <f t="shared" ref="S17:S18" si="52">G17-K17-O17</f>
        <v>1695650</v>
      </c>
    </row>
    <row r="18" spans="1:19" ht="32.25" customHeight="1" x14ac:dyDescent="0.5">
      <c r="A18" s="13">
        <v>14</v>
      </c>
      <c r="B18" s="39" t="str">
        <f>[54]รายการสรุป!$E$8</f>
        <v>เพิ่มประสิทธิภาพการกักเก็บน้ำเขื่อนกิ่วลม จ.ลำปาง</v>
      </c>
      <c r="C18" s="73" t="str">
        <f>[54]รายการสรุป!$I$8</f>
        <v>0700349052410ZJ3</v>
      </c>
      <c r="D18" s="66" t="s">
        <v>76</v>
      </c>
      <c r="E18" s="52">
        <f t="shared" si="44"/>
        <v>1779770</v>
      </c>
      <c r="F18" s="52">
        <v>0</v>
      </c>
      <c r="G18" s="53">
        <f>[54]รายการสรุป!$J$8</f>
        <v>1779770</v>
      </c>
      <c r="H18" s="72">
        <f t="shared" si="45"/>
        <v>84120</v>
      </c>
      <c r="I18" s="72">
        <f t="shared" si="46"/>
        <v>4.7264534181382984</v>
      </c>
      <c r="J18" s="72">
        <v>0</v>
      </c>
      <c r="K18" s="72">
        <f>84120</f>
        <v>84120</v>
      </c>
      <c r="L18" s="72">
        <f t="shared" si="47"/>
        <v>0</v>
      </c>
      <c r="M18" s="72">
        <f t="shared" si="48"/>
        <v>0</v>
      </c>
      <c r="N18" s="72">
        <v>0</v>
      </c>
      <c r="O18" s="72">
        <v>0</v>
      </c>
      <c r="P18" s="72">
        <f t="shared" si="49"/>
        <v>1695650</v>
      </c>
      <c r="Q18" s="72">
        <f t="shared" si="50"/>
        <v>95.273546581861694</v>
      </c>
      <c r="R18" s="72">
        <f t="shared" si="51"/>
        <v>0</v>
      </c>
      <c r="S18" s="72">
        <f t="shared" si="52"/>
        <v>1695650</v>
      </c>
    </row>
    <row r="19" spans="1:19" ht="32.25" customHeight="1" x14ac:dyDescent="0.5">
      <c r="A19" s="13">
        <v>15</v>
      </c>
      <c r="B19" s="39" t="str">
        <f>[55]รายการสรุป!$E$5</f>
        <v>เพิ่มประสิทธิภาพการกักเก็บน้ำเขื่อนกิ่วลม จ.ลำปาง</v>
      </c>
      <c r="C19" s="73" t="str">
        <f>[55]รายการสรุป!$I$5</f>
        <v>0700349054410116</v>
      </c>
      <c r="D19" s="66" t="s">
        <v>79</v>
      </c>
      <c r="E19" s="52">
        <f t="shared" ref="E19" si="53">F19+G19</f>
        <v>6396000</v>
      </c>
      <c r="F19" s="52">
        <v>0</v>
      </c>
      <c r="G19" s="53">
        <f>[55]รายการสรุป!$J$5</f>
        <v>6396000</v>
      </c>
      <c r="H19" s="72">
        <f t="shared" ref="H19" si="54">J19+K19</f>
        <v>100385</v>
      </c>
      <c r="I19" s="72">
        <f t="shared" ref="I19" si="55">H19*100/E19</f>
        <v>1.5694965603502189</v>
      </c>
      <c r="J19" s="72">
        <v>0</v>
      </c>
      <c r="K19" s="72">
        <f>100385</f>
        <v>100385</v>
      </c>
      <c r="L19" s="72">
        <f t="shared" ref="L19" si="56">N19+O19</f>
        <v>0</v>
      </c>
      <c r="M19" s="72">
        <f t="shared" ref="M19" si="57">L19*100/E19</f>
        <v>0</v>
      </c>
      <c r="N19" s="72">
        <v>0</v>
      </c>
      <c r="O19" s="72">
        <v>0</v>
      </c>
      <c r="P19" s="72">
        <f t="shared" ref="P19" si="58">R19+S19</f>
        <v>6295615</v>
      </c>
      <c r="Q19" s="72">
        <f t="shared" ref="Q19" si="59">P19*100/E19</f>
        <v>98.430503439649783</v>
      </c>
      <c r="R19" s="72">
        <f t="shared" ref="R19" si="60">F19-J19-N19</f>
        <v>0</v>
      </c>
      <c r="S19" s="72">
        <f t="shared" ref="S19" si="61">G19-K19-O19</f>
        <v>6295615</v>
      </c>
    </row>
    <row r="20" spans="1:19" ht="32.25" customHeight="1" x14ac:dyDescent="0.5">
      <c r="A20" s="13">
        <v>16</v>
      </c>
      <c r="B20" s="39" t="str">
        <f>[55]รายการสรุป!$E$6</f>
        <v>กำจัดสิ่งกีดขวางทางน้ำแม่วังด้านท้ายเขื่อนกิ่วคอหมา จ.ลำปาง</v>
      </c>
      <c r="C20" s="73" t="str">
        <f>[55]รายการสรุป!$I$6</f>
        <v>0700349054410066</v>
      </c>
      <c r="D20" s="66" t="s">
        <v>79</v>
      </c>
      <c r="E20" s="52">
        <f t="shared" ref="E20" si="62">F20+G20</f>
        <v>7235770</v>
      </c>
      <c r="F20" s="52">
        <v>0</v>
      </c>
      <c r="G20" s="53">
        <f>[55]รายการสรุป!$J$6</f>
        <v>7235770</v>
      </c>
      <c r="H20" s="72">
        <f t="shared" ref="H20" si="63">J20+K20</f>
        <v>121580</v>
      </c>
      <c r="I20" s="72">
        <f t="shared" ref="I20" si="64">H20*100/E20</f>
        <v>1.6802634688498943</v>
      </c>
      <c r="J20" s="72">
        <v>0</v>
      </c>
      <c r="K20" s="72">
        <f>121580</f>
        <v>121580</v>
      </c>
      <c r="L20" s="72">
        <f t="shared" ref="L20" si="65">N20+O20</f>
        <v>0</v>
      </c>
      <c r="M20" s="72">
        <f t="shared" ref="M20" si="66">L20*100/E20</f>
        <v>0</v>
      </c>
      <c r="N20" s="72">
        <v>0</v>
      </c>
      <c r="O20" s="72">
        <v>0</v>
      </c>
      <c r="P20" s="72">
        <f t="shared" ref="P20" si="67">R20+S20</f>
        <v>7114190</v>
      </c>
      <c r="Q20" s="72">
        <f t="shared" ref="Q20" si="68">P20*100/E20</f>
        <v>98.319736531150099</v>
      </c>
      <c r="R20" s="72">
        <f t="shared" ref="R20" si="69">F20-J20-N20</f>
        <v>0</v>
      </c>
      <c r="S20" s="72">
        <f t="shared" ref="S20" si="70">G20-K20-O20</f>
        <v>7114190</v>
      </c>
    </row>
    <row r="21" spans="1:19" ht="27.75" customHeight="1" x14ac:dyDescent="0.5">
      <c r="A21" s="10"/>
      <c r="B21" s="12"/>
      <c r="C21" s="12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3" spans="1:19" x14ac:dyDescent="0.5">
      <c r="K23" s="16"/>
      <c r="Q23" s="88" t="s">
        <v>10</v>
      </c>
      <c r="R23" s="88"/>
      <c r="S23" s="88"/>
    </row>
    <row r="24" spans="1:19" x14ac:dyDescent="0.5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88" t="s">
        <v>11</v>
      </c>
      <c r="R24" s="88"/>
      <c r="S24" s="88"/>
    </row>
    <row r="25" spans="1:19" x14ac:dyDescent="0.5">
      <c r="K25" s="16"/>
      <c r="Q25" s="88" t="s">
        <v>12</v>
      </c>
      <c r="R25" s="88"/>
      <c r="S25" s="88"/>
    </row>
    <row r="26" spans="1:19" x14ac:dyDescent="0.5">
      <c r="Q26" s="88" t="s">
        <v>13</v>
      </c>
      <c r="R26" s="88"/>
      <c r="S26" s="88"/>
    </row>
    <row r="27" spans="1:19" x14ac:dyDescent="0.5">
      <c r="Q27" s="60"/>
      <c r="R27" s="60"/>
      <c r="S27" s="60"/>
    </row>
    <row r="28" spans="1:19" x14ac:dyDescent="0.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0"/>
      <c r="R28" s="16"/>
      <c r="S28" s="16"/>
    </row>
  </sheetData>
  <mergeCells count="11">
    <mergeCell ref="Q23:S23"/>
    <mergeCell ref="Q24:S24"/>
    <mergeCell ref="Q25:S25"/>
    <mergeCell ref="Q26:S26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tabSelected="1" topLeftCell="C1" zoomScale="115" zoomScaleNormal="115" workbookViewId="0">
      <pane ySplit="3" topLeftCell="A4" activePane="bottomLeft" state="frozen"/>
      <selection activeCell="O29" sqref="O29"/>
      <selection pane="bottomLeft" activeCell="K7" sqref="K7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7.125" style="1" customWidth="1"/>
    <col min="4" max="4" width="9" style="14" customWidth="1"/>
    <col min="5" max="5" width="13.75" style="1" customWidth="1"/>
    <col min="6" max="6" width="12.625" style="1" customWidth="1"/>
    <col min="7" max="7" width="13.875" style="1" customWidth="1"/>
    <col min="8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1" x14ac:dyDescent="0.5">
      <c r="A2" s="90" t="s">
        <v>0</v>
      </c>
      <c r="B2" s="91"/>
      <c r="C2" s="69" t="s">
        <v>15</v>
      </c>
      <c r="D2" s="99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1" ht="26.25" customHeight="1" x14ac:dyDescent="0.5">
      <c r="A3" s="92"/>
      <c r="B3" s="93"/>
      <c r="C3" s="70" t="s">
        <v>16</v>
      </c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86141073.020000011</v>
      </c>
      <c r="F4" s="5">
        <f>SUM(F5:F10)</f>
        <v>494353.87</v>
      </c>
      <c r="G4" s="5">
        <f>SUM(G5:G9)</f>
        <v>85646719.150000006</v>
      </c>
      <c r="H4" s="5">
        <f t="shared" ref="H4:H5" si="0">J4+K4</f>
        <v>36952765.950000003</v>
      </c>
      <c r="I4" s="5">
        <f>H4*100/E4</f>
        <v>42.897963369251748</v>
      </c>
      <c r="J4" s="5">
        <f>SUM(J5:J5)</f>
        <v>0</v>
      </c>
      <c r="K4" s="5">
        <f>SUM(K5:K9)</f>
        <v>36952765.950000003</v>
      </c>
      <c r="L4" s="5">
        <f>N4+O4</f>
        <v>0</v>
      </c>
      <c r="M4" s="5">
        <f>L4*100/E4</f>
        <v>0</v>
      </c>
      <c r="N4" s="5">
        <f>SUM(N5:N5)</f>
        <v>0</v>
      </c>
      <c r="O4" s="5">
        <f>SUM(O5:O9)</f>
        <v>0</v>
      </c>
      <c r="P4" s="5">
        <f>E4-H4-L4</f>
        <v>49188307.070000008</v>
      </c>
      <c r="Q4" s="5">
        <f>P4*100/E4</f>
        <v>57.102036630748259</v>
      </c>
      <c r="R4" s="5">
        <f t="shared" ref="R4:S9" si="1">F4-J4-N4</f>
        <v>494353.87</v>
      </c>
      <c r="S4" s="5">
        <f>G4-K4-O4</f>
        <v>48693953.200000003</v>
      </c>
      <c r="T4" s="16">
        <f>I4+Q4</f>
        <v>100</v>
      </c>
      <c r="U4" s="16">
        <f>P4+H4</f>
        <v>86141073.020000011</v>
      </c>
    </row>
    <row r="5" spans="1:21" ht="24.75" customHeight="1" x14ac:dyDescent="0.5">
      <c r="A5" s="13">
        <v>1</v>
      </c>
      <c r="B5" s="63" t="str">
        <f>[56]รายการสรุป!$E$5</f>
        <v>ฝายต้นลำใยพร้อมระบบส่งน้ำ  ต.เสริมขวา อ.เสริมงาม จ.ลำปาง</v>
      </c>
      <c r="C5" s="47" t="str">
        <f>[56]รายการสรุป!$I$5</f>
        <v>0700349053420008</v>
      </c>
      <c r="D5" s="66" t="s">
        <v>60</v>
      </c>
      <c r="E5" s="64">
        <f t="shared" ref="E5" si="2">F5+G5</f>
        <v>23049063.850000001</v>
      </c>
      <c r="F5" s="64">
        <v>0</v>
      </c>
      <c r="G5" s="65">
        <f>[56]รายการสรุป!$J$5</f>
        <v>23049063.850000001</v>
      </c>
      <c r="H5" s="64">
        <f t="shared" si="0"/>
        <v>8109906.5</v>
      </c>
      <c r="I5" s="64">
        <f t="shared" ref="I5" si="3">H5*100/E5</f>
        <v>35.185405154752083</v>
      </c>
      <c r="J5" s="64">
        <v>0</v>
      </c>
      <c r="K5" s="64">
        <f>52400+456018+477800+45601.25+25194.3+7760+271302.4+187907.2+677138.5+486700+29646+19985+48001+19867.1+237110.6+306427.95+7580+182500+313530+1429901.35+57400+595821.5+542748.55+13860+577955.8+455000+584750</f>
        <v>8109906.5</v>
      </c>
      <c r="L5" s="64">
        <f t="shared" ref="L5" si="4">N5+O5</f>
        <v>0</v>
      </c>
      <c r="M5" s="64">
        <f t="shared" ref="M5" si="5">L5*100/E5</f>
        <v>0</v>
      </c>
      <c r="N5" s="64">
        <v>0</v>
      </c>
      <c r="O5" s="64">
        <v>0</v>
      </c>
      <c r="P5" s="64">
        <f t="shared" ref="P5" si="6">R5+S5</f>
        <v>14939157.350000001</v>
      </c>
      <c r="Q5" s="64">
        <f t="shared" ref="Q5" si="7">P5*100/E5</f>
        <v>64.814594845247925</v>
      </c>
      <c r="R5" s="64">
        <f t="shared" si="1"/>
        <v>0</v>
      </c>
      <c r="S5" s="64">
        <f t="shared" si="1"/>
        <v>14939157.350000001</v>
      </c>
    </row>
    <row r="6" spans="1:21" ht="24.75" customHeight="1" x14ac:dyDescent="0.5">
      <c r="A6" s="13">
        <v>2</v>
      </c>
      <c r="B6" s="11" t="str">
        <f>[56]รายการสรุป!$E$6</f>
        <v>ฝายห้วยพระเจ้าพร้อมระบบส่งน้ำ ต.แม่สุก อ.แจ้ห่ม จ.ลำปาง</v>
      </c>
      <c r="C6" s="47" t="str">
        <f>[56]รายการสรุป!$I$6</f>
        <v>0700349053420007</v>
      </c>
      <c r="D6" s="66" t="s">
        <v>60</v>
      </c>
      <c r="E6" s="64">
        <f t="shared" ref="E6" si="8">F6+G6</f>
        <v>21271750.120000001</v>
      </c>
      <c r="F6" s="64">
        <f>495400-1046.13</f>
        <v>494353.87</v>
      </c>
      <c r="G6" s="65">
        <f>'[56]2'!$D$96+'[56]2'!$D$331</f>
        <v>20777396.25</v>
      </c>
      <c r="H6" s="64">
        <f t="shared" ref="H6" si="9">J6+K6</f>
        <v>8168726.2999999998</v>
      </c>
      <c r="I6" s="64">
        <f t="shared" ref="I6" si="10">H6*100/E6</f>
        <v>38.401759394116084</v>
      </c>
      <c r="J6" s="64">
        <v>0</v>
      </c>
      <c r="K6" s="64">
        <f>52400+487895+37690.75+15000+23280+432493+98366+332887.85+231112.4+1042517.6+29971+28156+39675+15000+297260.6+380433.8+22740+182500+1024524.15+150240+559142.05+367040+745886.3+57190+23120+585654.8+470000+436550</f>
        <v>8168726.2999999998</v>
      </c>
      <c r="L6" s="64">
        <f t="shared" ref="L6" si="11">N6+O6</f>
        <v>0</v>
      </c>
      <c r="M6" s="64">
        <f t="shared" ref="M6" si="12">L6*100/E6</f>
        <v>0</v>
      </c>
      <c r="N6" s="64">
        <v>0</v>
      </c>
      <c r="O6" s="64">
        <v>0</v>
      </c>
      <c r="P6" s="64">
        <f t="shared" ref="P6" si="13">R6+S6</f>
        <v>13103023.819999998</v>
      </c>
      <c r="Q6" s="64">
        <f t="shared" ref="Q6" si="14">P6*100/E6</f>
        <v>61.598240605883902</v>
      </c>
      <c r="R6" s="64">
        <f t="shared" ref="R6" si="15">F6-J6-N6</f>
        <v>494353.87</v>
      </c>
      <c r="S6" s="64">
        <f t="shared" ref="S6" si="16">G6-K6-O6</f>
        <v>12608669.949999999</v>
      </c>
    </row>
    <row r="7" spans="1:21" ht="24.75" customHeight="1" x14ac:dyDescent="0.5">
      <c r="A7" s="13">
        <v>3</v>
      </c>
      <c r="B7" s="11" t="str">
        <f>[57]รายการสรุป!$E$5</f>
        <v>ฝายห้วยเตียพร้อมระบบส่งน้ำ ต.แม่สุก อ.แจ้ห่ม จ.ลำปาง</v>
      </c>
      <c r="C7" s="47" t="str">
        <f>[57]รายการสรุป!$I$5</f>
        <v>07003280A5420006</v>
      </c>
      <c r="D7" s="66" t="s">
        <v>63</v>
      </c>
      <c r="E7" s="64">
        <f t="shared" ref="E7" si="17">F7+G7</f>
        <v>41820259.049999997</v>
      </c>
      <c r="F7" s="64">
        <v>0</v>
      </c>
      <c r="G7" s="65">
        <f>[57]รายการสรุป!$J$5</f>
        <v>41820259.049999997</v>
      </c>
      <c r="H7" s="64">
        <f t="shared" ref="H7" si="18">J7+K7</f>
        <v>20674133.150000002</v>
      </c>
      <c r="I7" s="64">
        <f t="shared" ref="I7" si="19">H7*100/E7</f>
        <v>49.435688873381103</v>
      </c>
      <c r="J7" s="64">
        <v>0</v>
      </c>
      <c r="K7" s="64">
        <f>492075+257685+490665+25280+6760+236610+2560+952868.9+1051419.8+3916568.5+29897+25749+32243.7+976005+1257484.35+7580+243810+344700+52000+493640+409815+3000+3458605+57585+1069876.05+28190+251010+38240+1220136.3+253710+339600+6300+28779+55780+33400+251010+2273495.55</f>
        <v>20674133.150000002</v>
      </c>
      <c r="L7" s="64">
        <f t="shared" ref="L7" si="20">N7+O7</f>
        <v>0</v>
      </c>
      <c r="M7" s="64">
        <f t="shared" ref="M7" si="21">L7*100/E7</f>
        <v>0</v>
      </c>
      <c r="N7" s="64">
        <v>0</v>
      </c>
      <c r="O7" s="64">
        <v>0</v>
      </c>
      <c r="P7" s="64">
        <f t="shared" ref="P7" si="22">R7+S7</f>
        <v>21146125.899999995</v>
      </c>
      <c r="Q7" s="64">
        <f t="shared" ref="Q7" si="23">P7*100/E7</f>
        <v>50.564311126618897</v>
      </c>
      <c r="R7" s="64">
        <f t="shared" ref="R7" si="24">F7-J7-N7</f>
        <v>0</v>
      </c>
      <c r="S7" s="64">
        <f t="shared" ref="S7" si="25">G7-K7-O7</f>
        <v>21146125.899999995</v>
      </c>
    </row>
    <row r="8" spans="1:21" ht="24.75" customHeight="1" x14ac:dyDescent="0.5">
      <c r="A8" s="13"/>
      <c r="B8" s="11"/>
      <c r="C8" s="47"/>
      <c r="D8" s="66"/>
      <c r="E8" s="64"/>
      <c r="F8" s="64"/>
      <c r="G8" s="65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21" ht="24.75" customHeight="1" x14ac:dyDescent="0.5">
      <c r="A9" s="13"/>
      <c r="B9" s="39"/>
      <c r="C9" s="15"/>
      <c r="D9" s="29"/>
      <c r="E9" s="30"/>
      <c r="F9" s="30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f t="shared" si="1"/>
        <v>0</v>
      </c>
    </row>
    <row r="10" spans="1:21" ht="24.75" customHeight="1" x14ac:dyDescent="0.5">
      <c r="A10" s="10"/>
      <c r="B10" s="12"/>
      <c r="C10" s="12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2" spans="1:21" x14ac:dyDescent="0.5">
      <c r="K12" s="16"/>
      <c r="Q12" s="88" t="s">
        <v>10</v>
      </c>
      <c r="R12" s="88"/>
      <c r="S12" s="88"/>
    </row>
    <row r="13" spans="1:21" x14ac:dyDescent="0.5"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88" t="s">
        <v>11</v>
      </c>
      <c r="R13" s="88"/>
      <c r="S13" s="88"/>
    </row>
    <row r="14" spans="1:21" x14ac:dyDescent="0.5">
      <c r="K14" s="16"/>
      <c r="Q14" s="88" t="s">
        <v>12</v>
      </c>
      <c r="R14" s="88"/>
      <c r="S14" s="88"/>
    </row>
    <row r="15" spans="1:21" x14ac:dyDescent="0.5">
      <c r="Q15" s="88" t="s">
        <v>13</v>
      </c>
      <c r="R15" s="88"/>
      <c r="S15" s="88"/>
    </row>
    <row r="16" spans="1:21" x14ac:dyDescent="0.5">
      <c r="Q16" s="68"/>
      <c r="R16" s="68"/>
      <c r="S16" s="68"/>
    </row>
    <row r="17" spans="5:19" x14ac:dyDescent="0.5">
      <c r="E17" s="16">
        <f>E4+'2562'!E4</f>
        <v>163685468.02000001</v>
      </c>
      <c r="F17" s="16">
        <f>F4+'2562'!F4</f>
        <v>32113653.870000001</v>
      </c>
      <c r="G17" s="16">
        <f>G4+'2562'!G4</f>
        <v>131571814.15000001</v>
      </c>
      <c r="H17" s="16">
        <f>H4+'2562'!H4</f>
        <v>61221094.109999999</v>
      </c>
      <c r="I17" s="16">
        <f>I4+'2562'!I4</f>
        <v>74.194007603009709</v>
      </c>
      <c r="J17" s="16">
        <f>J4+'2562'!J4</f>
        <v>0</v>
      </c>
      <c r="K17" s="16">
        <f>K4+'2562'!K4</f>
        <v>61221094.109999999</v>
      </c>
      <c r="L17" s="16">
        <f>L4+'2562'!L4</f>
        <v>0</v>
      </c>
      <c r="M17" s="16">
        <f>M4+'2562'!M4</f>
        <v>0</v>
      </c>
      <c r="N17" s="16">
        <f>N4+'2562'!N4</f>
        <v>0</v>
      </c>
      <c r="O17" s="16">
        <f>O4+'2562'!O4</f>
        <v>0</v>
      </c>
      <c r="P17" s="16">
        <f>P4+'2562'!P4</f>
        <v>102464373.91000001</v>
      </c>
      <c r="Q17" s="30">
        <f t="shared" ref="Q17" si="26">P17*100/E17</f>
        <v>62.598332734999019</v>
      </c>
      <c r="R17" s="16">
        <f>R4+'2562'!R4</f>
        <v>32113653.870000001</v>
      </c>
      <c r="S17" s="16">
        <f>S4+'2562'!S4</f>
        <v>70350720.040000007</v>
      </c>
    </row>
  </sheetData>
  <mergeCells count="11">
    <mergeCell ref="Q12:S12"/>
    <mergeCell ref="Q13:S13"/>
    <mergeCell ref="Q14:S14"/>
    <mergeCell ref="Q15:S15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C8" sqref="C8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2.5" style="1" customWidth="1"/>
    <col min="11" max="11" width="12.125" style="1" customWidth="1"/>
    <col min="12" max="12" width="12.375" style="1" customWidth="1"/>
    <col min="13" max="13" width="8.25" style="1" customWidth="1"/>
    <col min="14" max="14" width="11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16384" width="9" style="1"/>
  </cols>
  <sheetData>
    <row r="1" spans="1:20" ht="33" customHeight="1" x14ac:dyDescent="0.6">
      <c r="A1" s="89" t="s">
        <v>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x14ac:dyDescent="0.5">
      <c r="A2" s="90"/>
      <c r="B2" s="91"/>
      <c r="C2" s="27" t="s">
        <v>15</v>
      </c>
      <c r="D2" s="99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0" ht="26.25" customHeight="1" x14ac:dyDescent="0.5">
      <c r="A3" s="92"/>
      <c r="B3" s="93"/>
      <c r="C3" s="28" t="s">
        <v>16</v>
      </c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14</v>
      </c>
      <c r="C4" s="4"/>
      <c r="D4" s="4"/>
      <c r="E4" s="5">
        <f>F4+G4</f>
        <v>22256035</v>
      </c>
      <c r="F4" s="5">
        <f>SUM(F5:F8)</f>
        <v>21534200</v>
      </c>
      <c r="G4" s="5">
        <f>SUM(G5:G8)</f>
        <v>721835</v>
      </c>
      <c r="H4" s="5">
        <f t="shared" ref="H4:H5" si="0">J4+K4</f>
        <v>0</v>
      </c>
      <c r="I4" s="5">
        <f>H4*100/E4</f>
        <v>0</v>
      </c>
      <c r="J4" s="5">
        <f>SUM(J5:J8)</f>
        <v>0</v>
      </c>
      <c r="K4" s="5">
        <f>SUM(K5:K8)</f>
        <v>0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SUM(O5:O6)</f>
        <v>0</v>
      </c>
      <c r="P4" s="5">
        <f>E4-H4-L4</f>
        <v>22256035</v>
      </c>
      <c r="Q4" s="5">
        <f>P4*100/E4</f>
        <v>100</v>
      </c>
      <c r="R4" s="5">
        <f>SUM(R5:R7)</f>
        <v>21534200</v>
      </c>
      <c r="S4" s="5">
        <f>G4-K4-O4</f>
        <v>721835</v>
      </c>
      <c r="T4" s="16">
        <f>I4+Q4</f>
        <v>100</v>
      </c>
    </row>
    <row r="5" spans="1:20" ht="48" customHeight="1" x14ac:dyDescent="0.5">
      <c r="A5" s="13">
        <v>1</v>
      </c>
      <c r="B5" s="11" t="str">
        <f>[58]รายการสรุป!$E$5</f>
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</c>
      <c r="C5" s="64" t="str">
        <f>[58]รายการสรุป!$I$5</f>
        <v>0700345054410026</v>
      </c>
      <c r="D5" s="66"/>
      <c r="E5" s="64">
        <f t="shared" ref="E5" si="1">F5+G5</f>
        <v>721835</v>
      </c>
      <c r="F5" s="64">
        <v>0</v>
      </c>
      <c r="G5" s="65">
        <v>721835</v>
      </c>
      <c r="H5" s="64">
        <f t="shared" si="0"/>
        <v>0</v>
      </c>
      <c r="I5" s="64">
        <f t="shared" ref="I5" si="2">H5*100/E5</f>
        <v>0</v>
      </c>
      <c r="J5" s="64">
        <v>0</v>
      </c>
      <c r="K5" s="64">
        <v>0</v>
      </c>
      <c r="L5" s="30">
        <f t="shared" ref="L5" si="3">N5+O5</f>
        <v>0</v>
      </c>
      <c r="M5" s="30">
        <f t="shared" ref="M5" si="4">L5*100/E5</f>
        <v>0</v>
      </c>
      <c r="N5" s="30">
        <v>0</v>
      </c>
      <c r="O5" s="30">
        <v>0</v>
      </c>
      <c r="P5" s="30">
        <f t="shared" ref="P5" si="5">R5+S5</f>
        <v>721835</v>
      </c>
      <c r="Q5" s="30">
        <f t="shared" ref="Q5" si="6">P5*100/E5</f>
        <v>100</v>
      </c>
      <c r="R5" s="30">
        <f t="shared" ref="R5:S5" si="7">F5-J5-N5</f>
        <v>0</v>
      </c>
      <c r="S5" s="30">
        <f t="shared" si="7"/>
        <v>721835</v>
      </c>
    </row>
    <row r="6" spans="1:20" ht="47.25" customHeight="1" x14ac:dyDescent="0.5">
      <c r="A6" s="13">
        <v>2</v>
      </c>
      <c r="B6" s="11" t="str">
        <f>[59]รายการสรุป!$E$5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6" s="64" t="str">
        <f>[59]รายการสรุป!$I$5</f>
        <v>0700345054420038</v>
      </c>
      <c r="D6" s="66"/>
      <c r="E6" s="64">
        <f t="shared" ref="E6" si="8">F6+G6</f>
        <v>20827200</v>
      </c>
      <c r="F6" s="64">
        <v>20827200</v>
      </c>
      <c r="G6" s="65">
        <v>0</v>
      </c>
      <c r="H6" s="64">
        <f t="shared" ref="H6" si="9">J6+K6</f>
        <v>0</v>
      </c>
      <c r="I6" s="64">
        <f t="shared" ref="I6" si="10">H6*100/E6</f>
        <v>0</v>
      </c>
      <c r="J6" s="64">
        <v>0</v>
      </c>
      <c r="K6" s="64">
        <v>0</v>
      </c>
      <c r="L6" s="30">
        <f t="shared" ref="L6" si="11">N6+O6</f>
        <v>0</v>
      </c>
      <c r="M6" s="30">
        <f t="shared" ref="M6" si="12">L6*100/E6</f>
        <v>0</v>
      </c>
      <c r="N6" s="30">
        <v>0</v>
      </c>
      <c r="O6" s="30">
        <v>0</v>
      </c>
      <c r="P6" s="30">
        <f t="shared" ref="P6" si="13">R6+S6</f>
        <v>20827200</v>
      </c>
      <c r="Q6" s="30">
        <f t="shared" ref="Q6" si="14">P6*100/E6</f>
        <v>100</v>
      </c>
      <c r="R6" s="30">
        <f t="shared" ref="R6" si="15">F6-J6-N6</f>
        <v>20827200</v>
      </c>
      <c r="S6" s="30">
        <f t="shared" ref="S6" si="16">G6-K6-O6</f>
        <v>0</v>
      </c>
    </row>
    <row r="7" spans="1:20" ht="46.5" customHeight="1" x14ac:dyDescent="0.5">
      <c r="A7" s="13">
        <v>3</v>
      </c>
      <c r="B7" s="11" t="str">
        <f>[59]รายการสรุป!$E$6</f>
        <v>ค่าจ้าง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7" s="73" t="str">
        <f>[59]รายการสรุป!$I$6</f>
        <v>0700345054420039</v>
      </c>
      <c r="D7" s="66"/>
      <c r="E7" s="64">
        <f t="shared" ref="E7" si="17">F7+G7</f>
        <v>707000</v>
      </c>
      <c r="F7" s="64">
        <v>707000</v>
      </c>
      <c r="G7" s="65">
        <v>0</v>
      </c>
      <c r="H7" s="64">
        <f t="shared" ref="H7" si="18">J7+K7</f>
        <v>0</v>
      </c>
      <c r="I7" s="64">
        <f t="shared" ref="I7" si="19">H7*100/E7</f>
        <v>0</v>
      </c>
      <c r="J7" s="64">
        <v>0</v>
      </c>
      <c r="K7" s="64">
        <v>0</v>
      </c>
      <c r="L7" s="30">
        <f t="shared" ref="L7" si="20">N7+O7</f>
        <v>0</v>
      </c>
      <c r="M7" s="30">
        <f t="shared" ref="M7" si="21">L7*100/E7</f>
        <v>0</v>
      </c>
      <c r="N7" s="30">
        <v>0</v>
      </c>
      <c r="O7" s="30">
        <v>0</v>
      </c>
      <c r="P7" s="30">
        <f t="shared" ref="P7" si="22">R7+S7</f>
        <v>707000</v>
      </c>
      <c r="Q7" s="30">
        <f t="shared" ref="Q7" si="23">P7*100/E7</f>
        <v>100</v>
      </c>
      <c r="R7" s="30">
        <f t="shared" ref="R7" si="24">F7-J7-N7</f>
        <v>707000</v>
      </c>
      <c r="S7" s="30">
        <f t="shared" ref="S7" si="25">G7-K7-O7</f>
        <v>0</v>
      </c>
    </row>
    <row r="8" spans="1:20" ht="35.25" customHeight="1" x14ac:dyDescent="0.5">
      <c r="A8" s="13"/>
      <c r="B8" s="11"/>
      <c r="C8" s="43"/>
      <c r="D8" s="29"/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0" ht="27.75" customHeight="1" x14ac:dyDescent="0.5">
      <c r="A9" s="10"/>
      <c r="B9" s="12"/>
      <c r="C9" s="12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1" spans="1:20" x14ac:dyDescent="0.5">
      <c r="Q11" s="88" t="s">
        <v>10</v>
      </c>
      <c r="R11" s="88"/>
      <c r="S11" s="88"/>
    </row>
    <row r="12" spans="1:20" x14ac:dyDescent="0.5">
      <c r="Q12" s="88" t="s">
        <v>11</v>
      </c>
      <c r="R12" s="88"/>
      <c r="S12" s="88"/>
    </row>
    <row r="13" spans="1:20" x14ac:dyDescent="0.5">
      <c r="Q13" s="88" t="s">
        <v>12</v>
      </c>
      <c r="R13" s="88"/>
      <c r="S13" s="88"/>
    </row>
    <row r="14" spans="1:20" x14ac:dyDescent="0.5">
      <c r="Q14" s="88" t="s">
        <v>13</v>
      </c>
      <c r="R14" s="88"/>
      <c r="S14" s="88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5"/>
  <sheetViews>
    <sheetView zoomScale="115" zoomScaleNormal="115" workbookViewId="0">
      <pane ySplit="3" topLeftCell="A4" activePane="bottomLeft" state="frozen"/>
      <selection activeCell="O29" sqref="O29"/>
      <selection pane="bottomLeft" activeCell="B10" sqref="B10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14" style="1" customWidth="1"/>
    <col min="21" max="16384" width="9" style="1"/>
  </cols>
  <sheetData>
    <row r="1" spans="1:20" ht="33" customHeight="1" x14ac:dyDescent="0.6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x14ac:dyDescent="0.5">
      <c r="A2" s="90"/>
      <c r="B2" s="91"/>
      <c r="C2" s="34" t="s">
        <v>15</v>
      </c>
      <c r="D2" s="99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0" ht="26.25" customHeight="1" x14ac:dyDescent="0.5">
      <c r="A3" s="92"/>
      <c r="B3" s="93"/>
      <c r="C3" s="35" t="s">
        <v>16</v>
      </c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14</v>
      </c>
      <c r="C4" s="4"/>
      <c r="D4" s="4"/>
      <c r="E4" s="5">
        <f>F4+G4</f>
        <v>7977614.6600000001</v>
      </c>
      <c r="F4" s="5">
        <f>SUM(F5:F6)</f>
        <v>7647735.1500000004</v>
      </c>
      <c r="G4" s="5">
        <f>SUM(G5:G8)</f>
        <v>329879.51</v>
      </c>
      <c r="H4" s="5">
        <f t="shared" ref="H4:H5" si="0">J4+K4</f>
        <v>469640.16</v>
      </c>
      <c r="I4" s="5">
        <f>H4*100/E4</f>
        <v>5.8869747413946918</v>
      </c>
      <c r="J4" s="5">
        <f>SUM(J5:J6)</f>
        <v>0</v>
      </c>
      <c r="K4" s="5">
        <f>SUM(K5:K8)</f>
        <v>469640.16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SUM(O5:O8)</f>
        <v>0</v>
      </c>
      <c r="P4" s="5">
        <f>E4-H4-L4</f>
        <v>7507974.5</v>
      </c>
      <c r="Q4" s="5">
        <f>P4*100/E4</f>
        <v>94.113025258605305</v>
      </c>
      <c r="R4" s="5">
        <f t="shared" ref="R4:S5" si="1">F4-J4-N4</f>
        <v>7647735.1500000004</v>
      </c>
      <c r="S4" s="5">
        <f>G4-K4-O4</f>
        <v>-139760.64999999997</v>
      </c>
      <c r="T4" s="16">
        <f>I4+Q4</f>
        <v>100</v>
      </c>
    </row>
    <row r="5" spans="1:20" ht="41.25" customHeight="1" x14ac:dyDescent="0.5">
      <c r="A5" s="13">
        <v>1</v>
      </c>
      <c r="B5" s="84" t="str">
        <f>[60]รายการสรุป!$E$5</f>
        <v>ค่าควบคุมงานจ้างเหมาโครงการปรับปรุงเขื่อนแม่สรวย จ.เชียงราย</v>
      </c>
      <c r="C5" s="47" t="str">
        <f>[60]รายการสรุป!$I$5</f>
        <v>0700341029410043</v>
      </c>
      <c r="D5" s="29"/>
      <c r="E5" s="47">
        <f t="shared" ref="E5" si="2">F5+G5</f>
        <v>329879.51</v>
      </c>
      <c r="F5" s="47">
        <v>0</v>
      </c>
      <c r="G5" s="48">
        <v>329879.51</v>
      </c>
      <c r="H5" s="47">
        <f t="shared" si="0"/>
        <v>39830</v>
      </c>
      <c r="I5" s="47">
        <f t="shared" ref="I5" si="3">H5*100/E5</f>
        <v>12.074105481725736</v>
      </c>
      <c r="J5" s="47">
        <v>0</v>
      </c>
      <c r="K5" s="47">
        <f>7538.15+9810+2320+11830+8331.85</f>
        <v>39830</v>
      </c>
      <c r="L5" s="47">
        <f t="shared" ref="L5" si="4">N5+O5</f>
        <v>0</v>
      </c>
      <c r="M5" s="47">
        <f t="shared" ref="M5" si="5">L5*100/E5</f>
        <v>0</v>
      </c>
      <c r="N5" s="47">
        <v>0</v>
      </c>
      <c r="O5" s="47">
        <v>0</v>
      </c>
      <c r="P5" s="47">
        <f t="shared" ref="P5" si="6">R5+S5</f>
        <v>290049.51</v>
      </c>
      <c r="Q5" s="47">
        <f t="shared" ref="Q5" si="7">P5*100/E5</f>
        <v>87.925894518274262</v>
      </c>
      <c r="R5" s="47">
        <f t="shared" si="1"/>
        <v>0</v>
      </c>
      <c r="S5" s="47">
        <f t="shared" si="1"/>
        <v>290049.51</v>
      </c>
    </row>
    <row r="6" spans="1:20" ht="51.75" customHeight="1" x14ac:dyDescent="0.5">
      <c r="A6" s="13">
        <v>2</v>
      </c>
      <c r="B6" s="11" t="str">
        <f>[61]รายการสรุป!$E$7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6" s="47" t="str">
        <f>[61]รายการสรุป!$I$7</f>
        <v>0700341029420135</v>
      </c>
      <c r="D6" s="29"/>
      <c r="E6" s="47">
        <f t="shared" ref="E6:E7" si="8">F6+G6</f>
        <v>7647735.1500000004</v>
      </c>
      <c r="F6" s="47">
        <f>7647735.15</f>
        <v>7647735.1500000004</v>
      </c>
      <c r="G6" s="48">
        <v>0</v>
      </c>
      <c r="H6" s="47">
        <f t="shared" ref="H6:H7" si="9">J6+K6</f>
        <v>0</v>
      </c>
      <c r="I6" s="47">
        <f t="shared" ref="I6:I7" si="10">H6*100/E6</f>
        <v>0</v>
      </c>
      <c r="J6" s="47">
        <v>0</v>
      </c>
      <c r="K6" s="47">
        <v>0</v>
      </c>
      <c r="L6" s="47">
        <f t="shared" ref="L6:L7" si="11">N6+O6</f>
        <v>0</v>
      </c>
      <c r="M6" s="47">
        <f t="shared" ref="M6:M7" si="12">L6*100/E6</f>
        <v>0</v>
      </c>
      <c r="N6" s="47">
        <v>0</v>
      </c>
      <c r="O6" s="47">
        <v>0</v>
      </c>
      <c r="P6" s="47">
        <f t="shared" ref="P6:P7" si="13">R6+S6</f>
        <v>7647735.1500000004</v>
      </c>
      <c r="Q6" s="47">
        <f t="shared" ref="Q6:Q7" si="14">P6*100/E6</f>
        <v>100</v>
      </c>
      <c r="R6" s="47">
        <f t="shared" ref="R6:R7" si="15">F6-J6-N6</f>
        <v>7647735.1500000004</v>
      </c>
      <c r="S6" s="47">
        <f t="shared" ref="S6:S7" si="16">G6-K6-O6</f>
        <v>0</v>
      </c>
    </row>
    <row r="7" spans="1:20" ht="43.5" customHeight="1" x14ac:dyDescent="0.5">
      <c r="A7" s="13">
        <v>3</v>
      </c>
      <c r="B7" s="11" t="str">
        <f>[61]รายการสรุป!$E$8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7" s="15" t="str">
        <f>[61]รายการสรุป!$I$8</f>
        <v>0700341029420076</v>
      </c>
      <c r="D7" s="29"/>
      <c r="E7" s="47">
        <f t="shared" si="8"/>
        <v>840489.84</v>
      </c>
      <c r="F7" s="47">
        <v>840489.84</v>
      </c>
      <c r="G7" s="48">
        <v>0</v>
      </c>
      <c r="H7" s="47">
        <f t="shared" si="9"/>
        <v>429810.16</v>
      </c>
      <c r="I7" s="47">
        <f t="shared" si="10"/>
        <v>51.138055398742239</v>
      </c>
      <c r="J7" s="47">
        <v>0</v>
      </c>
      <c r="K7" s="47">
        <f>429810.16</f>
        <v>429810.16</v>
      </c>
      <c r="L7" s="47">
        <f t="shared" si="11"/>
        <v>0</v>
      </c>
      <c r="M7" s="47">
        <f t="shared" si="12"/>
        <v>0</v>
      </c>
      <c r="N7" s="47">
        <v>0</v>
      </c>
      <c r="O7" s="47">
        <v>0</v>
      </c>
      <c r="P7" s="47">
        <f t="shared" si="13"/>
        <v>410679.68</v>
      </c>
      <c r="Q7" s="47">
        <f t="shared" si="14"/>
        <v>48.861944601257761</v>
      </c>
      <c r="R7" s="47">
        <f t="shared" si="15"/>
        <v>840489.84</v>
      </c>
      <c r="S7" s="47">
        <f t="shared" si="16"/>
        <v>-429810.16</v>
      </c>
    </row>
    <row r="8" spans="1:20" ht="33" customHeight="1" x14ac:dyDescent="0.5">
      <c r="A8" s="13"/>
      <c r="B8" s="11"/>
      <c r="C8" s="30"/>
      <c r="D8" s="6"/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4"/>
    </row>
    <row r="9" spans="1:20" ht="30" customHeight="1" x14ac:dyDescent="0.5">
      <c r="A9" s="13"/>
      <c r="B9" s="11"/>
      <c r="C9" s="15"/>
      <c r="D9" s="1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27.75" customHeight="1" x14ac:dyDescent="0.5">
      <c r="A10" s="10"/>
      <c r="B10" s="12"/>
      <c r="C10" s="12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2" spans="1:20" x14ac:dyDescent="0.5">
      <c r="Q12" s="88" t="s">
        <v>10</v>
      </c>
      <c r="R12" s="88"/>
      <c r="S12" s="88"/>
    </row>
    <row r="13" spans="1:20" x14ac:dyDescent="0.5">
      <c r="Q13" s="88" t="s">
        <v>11</v>
      </c>
      <c r="R13" s="88"/>
      <c r="S13" s="88"/>
    </row>
    <row r="14" spans="1:20" x14ac:dyDescent="0.5">
      <c r="Q14" s="88" t="s">
        <v>12</v>
      </c>
      <c r="R14" s="88"/>
      <c r="S14" s="88"/>
    </row>
    <row r="15" spans="1:20" x14ac:dyDescent="0.5">
      <c r="Q15" s="88" t="s">
        <v>13</v>
      </c>
      <c r="R15" s="88"/>
      <c r="S15" s="88"/>
    </row>
  </sheetData>
  <mergeCells count="11">
    <mergeCell ref="Q12:S12"/>
    <mergeCell ref="Q13:S13"/>
    <mergeCell ref="Q14:S14"/>
    <mergeCell ref="Q15:S15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"/>
  <sheetViews>
    <sheetView zoomScale="115" zoomScaleNormal="115" workbookViewId="0">
      <pane ySplit="3" topLeftCell="A4" activePane="bottomLeft" state="frozen"/>
      <selection activeCell="O29" sqref="O29"/>
      <selection pane="bottomLeft" activeCell="C12" sqref="C12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hidden="1" customWidth="1"/>
    <col min="5" max="5" width="13.75" style="1" hidden="1" customWidth="1"/>
    <col min="6" max="6" width="12.625" style="1" hidden="1" customWidth="1"/>
    <col min="7" max="8" width="12.5" style="1" hidden="1" customWidth="1"/>
    <col min="9" max="9" width="7.125" style="1" hidden="1" customWidth="1"/>
    <col min="10" max="10" width="11.25" style="1" hidden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1" x14ac:dyDescent="0.5">
      <c r="A2" s="90" t="s">
        <v>0</v>
      </c>
      <c r="B2" s="91"/>
      <c r="C2" s="37" t="s">
        <v>15</v>
      </c>
      <c r="D2" s="99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1" ht="26.25" customHeight="1" x14ac:dyDescent="0.5">
      <c r="A3" s="92"/>
      <c r="B3" s="93"/>
      <c r="C3" s="38" t="s">
        <v>16</v>
      </c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47009085.769999996</v>
      </c>
      <c r="F4" s="5">
        <f>SUM(F6:F7)</f>
        <v>0</v>
      </c>
      <c r="G4" s="5">
        <f>G6+G7</f>
        <v>47009085.769999996</v>
      </c>
      <c r="H4" s="5">
        <f t="shared" ref="H4" si="0">J4+K4</f>
        <v>1035805</v>
      </c>
      <c r="I4" s="5">
        <f>H4*100/E4</f>
        <v>2.2034144741036945</v>
      </c>
      <c r="J4" s="5">
        <f>SUM(J6:J7)</f>
        <v>0</v>
      </c>
      <c r="K4" s="5">
        <f>K6+K7</f>
        <v>1035805</v>
      </c>
      <c r="L4" s="5">
        <f>N4+O4</f>
        <v>0</v>
      </c>
      <c r="M4" s="5">
        <f>L4*100/E4</f>
        <v>0</v>
      </c>
      <c r="N4" s="5">
        <f>SUM(N6:N7)</f>
        <v>0</v>
      </c>
      <c r="O4" s="5">
        <f>SUM(O6:O7)</f>
        <v>0</v>
      </c>
      <c r="P4" s="5">
        <f>E4-H4-L4</f>
        <v>45973280.769999996</v>
      </c>
      <c r="Q4" s="5">
        <f>P4*100/E4</f>
        <v>97.796585525896319</v>
      </c>
      <c r="R4" s="5">
        <f t="shared" ref="R4" si="1">F4-J4-N4</f>
        <v>0</v>
      </c>
      <c r="S4" s="5">
        <f>G4-K4-O4</f>
        <v>45973280.769999996</v>
      </c>
      <c r="T4" s="16">
        <f>I4+Q4</f>
        <v>100.00000000000001</v>
      </c>
      <c r="U4" s="16">
        <f>P4+H4</f>
        <v>47009085.769999996</v>
      </c>
    </row>
    <row r="5" spans="1:21" ht="30" customHeight="1" x14ac:dyDescent="0.5">
      <c r="A5" s="13"/>
      <c r="B5" s="32" t="s">
        <v>19</v>
      </c>
      <c r="C5" s="15"/>
      <c r="D5" s="1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ht="30" customHeight="1" x14ac:dyDescent="0.5">
      <c r="A6" s="13">
        <v>2</v>
      </c>
      <c r="B6" s="11" t="str">
        <f>[62]รายการสรุป!$E$5</f>
        <v>โครงการฝายแม่อางบ้านน้ำล้อมอันเนื่องมาจากพระราชดำริ อ.เมือง จ.ลำปาง</v>
      </c>
      <c r="C6" s="15" t="str">
        <f>[62]รายการสรุป!$I$5</f>
        <v>9090938015E8</v>
      </c>
      <c r="D6" s="15" t="s">
        <v>18</v>
      </c>
      <c r="E6" s="47">
        <f t="shared" ref="E6" si="2">F6+G6</f>
        <v>3183750.87</v>
      </c>
      <c r="F6" s="30">
        <v>0</v>
      </c>
      <c r="G6" s="48">
        <f>2053950.87+1129800</f>
        <v>3183750.87</v>
      </c>
      <c r="H6" s="47">
        <f t="shared" ref="H6" si="3">J6+K6</f>
        <v>214500</v>
      </c>
      <c r="I6" s="47">
        <f t="shared" ref="I6" si="4">H6*100/E6</f>
        <v>6.7373362036961133</v>
      </c>
      <c r="J6" s="30">
        <v>0</v>
      </c>
      <c r="K6" s="52">
        <f>214500</f>
        <v>214500</v>
      </c>
      <c r="L6" s="52">
        <f t="shared" ref="L6" si="5">N6+O6</f>
        <v>0</v>
      </c>
      <c r="M6" s="52">
        <f t="shared" ref="M6" si="6">L6*100/E6</f>
        <v>0</v>
      </c>
      <c r="N6" s="52">
        <v>0</v>
      </c>
      <c r="O6" s="52">
        <v>0</v>
      </c>
      <c r="P6" s="52">
        <f t="shared" ref="P6" si="7">R6+S6</f>
        <v>2969250.87</v>
      </c>
      <c r="Q6" s="52">
        <f t="shared" ref="Q6" si="8">P6*100/E6</f>
        <v>93.262663796303883</v>
      </c>
      <c r="R6" s="52">
        <f t="shared" ref="R6:S6" si="9">F6-J6-N6</f>
        <v>0</v>
      </c>
      <c r="S6" s="52">
        <f t="shared" si="9"/>
        <v>2969250.87</v>
      </c>
    </row>
    <row r="7" spans="1:21" ht="49.5" customHeight="1" x14ac:dyDescent="0.5">
      <c r="A7" s="13">
        <v>3</v>
      </c>
      <c r="B7" s="11" t="str">
        <f>[63]รายการสรุป!$E$5</f>
        <v>โครงการอ่างเก็บน้ำห้วยเฮี้ยพร้อมระบบส่งน้ำอันเนื่องมาจากพระราชดำริ อ.เมือง จ.ลำปาง</v>
      </c>
      <c r="C7" s="64" t="str">
        <f>[63]รายการสรุป!$I$5</f>
        <v>9090938015</v>
      </c>
      <c r="D7" s="64" t="s">
        <v>71</v>
      </c>
      <c r="E7" s="64">
        <f t="shared" ref="E7" si="10">F7+G7</f>
        <v>43825334.899999999</v>
      </c>
      <c r="F7" s="30">
        <v>0</v>
      </c>
      <c r="G7" s="64">
        <f>40470117.78+3355217.12</f>
        <v>43825334.899999999</v>
      </c>
      <c r="H7" s="74">
        <f t="shared" ref="H7" si="11">J7+K7</f>
        <v>821305</v>
      </c>
      <c r="I7" s="74">
        <f t="shared" ref="I7" si="12">H7*100/E7</f>
        <v>1.8740415831939257</v>
      </c>
      <c r="J7" s="74">
        <v>0</v>
      </c>
      <c r="K7" s="74">
        <f>264955+267805+288545</f>
        <v>821305</v>
      </c>
      <c r="L7" s="74">
        <f t="shared" ref="L7" si="13">N7+O7</f>
        <v>0</v>
      </c>
      <c r="M7" s="74">
        <f t="shared" ref="M7" si="14">L7*100/E7</f>
        <v>0</v>
      </c>
      <c r="N7" s="74">
        <v>0</v>
      </c>
      <c r="O7" s="74">
        <v>0</v>
      </c>
      <c r="P7" s="74">
        <f t="shared" ref="P7" si="15">R7+S7</f>
        <v>43004029.899999999</v>
      </c>
      <c r="Q7" s="74">
        <f t="shared" ref="Q7" si="16">P7*100/E7</f>
        <v>98.125958416806071</v>
      </c>
      <c r="R7" s="74">
        <f t="shared" ref="R7" si="17">F7-J7-N7</f>
        <v>0</v>
      </c>
      <c r="S7" s="64">
        <f t="shared" ref="S7" si="18">G7-K7-O7</f>
        <v>43004029.899999999</v>
      </c>
    </row>
    <row r="8" spans="1:21" ht="27.75" customHeight="1" x14ac:dyDescent="0.5">
      <c r="A8" s="10"/>
      <c r="B8" s="12"/>
      <c r="C8" s="12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10" spans="1:21" x14ac:dyDescent="0.5">
      <c r="Q10" s="88" t="s">
        <v>10</v>
      </c>
      <c r="R10" s="88"/>
      <c r="S10" s="88"/>
    </row>
    <row r="11" spans="1:21" x14ac:dyDescent="0.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88" t="s">
        <v>11</v>
      </c>
      <c r="R11" s="88"/>
      <c r="S11" s="88"/>
    </row>
    <row r="12" spans="1:21" x14ac:dyDescent="0.5">
      <c r="Q12" s="88" t="s">
        <v>12</v>
      </c>
      <c r="R12" s="88"/>
      <c r="S12" s="88"/>
    </row>
    <row r="13" spans="1:21" x14ac:dyDescent="0.5">
      <c r="Q13" s="88" t="s">
        <v>13</v>
      </c>
      <c r="R13" s="88"/>
      <c r="S13" s="88"/>
    </row>
    <row r="14" spans="1:21" x14ac:dyDescent="0.5">
      <c r="Q14" s="36"/>
      <c r="R14" s="36"/>
      <c r="S14" s="36"/>
    </row>
    <row r="15" spans="1:21" x14ac:dyDescent="0.5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0"/>
      <c r="R15" s="16"/>
      <c r="S15" s="16"/>
    </row>
  </sheetData>
  <mergeCells count="11">
    <mergeCell ref="Q10:S10"/>
    <mergeCell ref="Q11:S11"/>
    <mergeCell ref="Q12:S12"/>
    <mergeCell ref="Q13:S13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"/>
  <sheetViews>
    <sheetView topLeftCell="D1" zoomScale="115" zoomScaleNormal="115" workbookViewId="0">
      <pane ySplit="3" topLeftCell="A4" activePane="bottomLeft" state="frozen"/>
      <selection activeCell="O29" sqref="O29"/>
      <selection pane="bottomLeft" activeCell="K7" sqref="K7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7.12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10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1" x14ac:dyDescent="0.5">
      <c r="A2" s="90" t="s">
        <v>0</v>
      </c>
      <c r="B2" s="91"/>
      <c r="C2" s="41" t="s">
        <v>15</v>
      </c>
      <c r="D2" s="99" t="s">
        <v>1</v>
      </c>
      <c r="E2" s="96" t="s">
        <v>2</v>
      </c>
      <c r="F2" s="97"/>
      <c r="G2" s="98"/>
      <c r="H2" s="96" t="s">
        <v>7</v>
      </c>
      <c r="I2" s="97"/>
      <c r="J2" s="97"/>
      <c r="K2" s="98"/>
      <c r="L2" s="96" t="s">
        <v>8</v>
      </c>
      <c r="M2" s="97"/>
      <c r="N2" s="97"/>
      <c r="O2" s="98"/>
      <c r="P2" s="96" t="s">
        <v>9</v>
      </c>
      <c r="Q2" s="97"/>
      <c r="R2" s="97"/>
      <c r="S2" s="98"/>
    </row>
    <row r="3" spans="1:21" ht="26.25" customHeight="1" x14ac:dyDescent="0.5">
      <c r="A3" s="92"/>
      <c r="B3" s="93"/>
      <c r="C3" s="42" t="s">
        <v>16</v>
      </c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387664.61</v>
      </c>
      <c r="F4" s="5">
        <f>SUM(F5:F6)</f>
        <v>0</v>
      </c>
      <c r="G4" s="5">
        <f>SUM(G5:G6)</f>
        <v>387664.61</v>
      </c>
      <c r="H4" s="5">
        <f t="shared" ref="H4:H6" si="0">J4+K4</f>
        <v>3821</v>
      </c>
      <c r="I4" s="5">
        <f>H4*100/E4</f>
        <v>0.9856458137873354</v>
      </c>
      <c r="J4" s="5">
        <f>SUM(J5:J6)</f>
        <v>0</v>
      </c>
      <c r="K4" s="5">
        <f>SUM(K5:K6)</f>
        <v>3821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SUM(O5:O6)</f>
        <v>0</v>
      </c>
      <c r="P4" s="5">
        <f>E4-H4-L4</f>
        <v>383843.61</v>
      </c>
      <c r="Q4" s="5">
        <f>P4*100/E4</f>
        <v>99.014354186212671</v>
      </c>
      <c r="R4" s="5">
        <f t="shared" ref="R4:S6" si="1">F4-J4-N4</f>
        <v>0</v>
      </c>
      <c r="S4" s="5">
        <f>G4-K4-O4</f>
        <v>383843.61</v>
      </c>
      <c r="T4" s="16">
        <f>I4+Q4</f>
        <v>100</v>
      </c>
      <c r="U4" s="16">
        <f>P4+H4</f>
        <v>387664.61</v>
      </c>
    </row>
    <row r="5" spans="1:21" ht="32.25" customHeight="1" x14ac:dyDescent="0.5">
      <c r="A5" s="13">
        <v>1</v>
      </c>
      <c r="B5" s="50" t="str">
        <f>[64]รายการสรุป!$E$7</f>
        <v>กำจัดสิ่งกีดขวางทางแม่น้ำวังด้านท้ายเขื่อนกิ่วคอหมา จ.ลำปาง</v>
      </c>
      <c r="C5" s="72" t="str">
        <f>[65]รายการสรุป!$I$6</f>
        <v>07003630X1410C04</v>
      </c>
      <c r="D5" s="29" t="s">
        <v>20</v>
      </c>
      <c r="E5" s="47">
        <f t="shared" ref="E5:E6" si="2">F5+G5</f>
        <v>122772.23</v>
      </c>
      <c r="F5" s="47">
        <v>0</v>
      </c>
      <c r="G5" s="48">
        <v>122772.23</v>
      </c>
      <c r="H5" s="47">
        <f t="shared" si="0"/>
        <v>0</v>
      </c>
      <c r="I5" s="47">
        <f t="shared" ref="I5:I6" si="3">H5*100/E5</f>
        <v>0</v>
      </c>
      <c r="J5" s="47">
        <v>0</v>
      </c>
      <c r="K5" s="47">
        <v>0</v>
      </c>
      <c r="L5" s="47">
        <f t="shared" ref="L5:L6" si="4">N5+O5</f>
        <v>0</v>
      </c>
      <c r="M5" s="47">
        <f t="shared" ref="M5:M6" si="5">L5*100/E5</f>
        <v>0</v>
      </c>
      <c r="N5" s="47">
        <v>0</v>
      </c>
      <c r="O5" s="47">
        <v>0</v>
      </c>
      <c r="P5" s="47">
        <f t="shared" ref="P5:P6" si="6">R5+S5</f>
        <v>122772.23</v>
      </c>
      <c r="Q5" s="47">
        <f t="shared" ref="Q5:Q6" si="7">P5*100/E5</f>
        <v>100</v>
      </c>
      <c r="R5" s="47">
        <f t="shared" si="1"/>
        <v>0</v>
      </c>
      <c r="S5" s="30">
        <f t="shared" si="1"/>
        <v>122772.23</v>
      </c>
    </row>
    <row r="6" spans="1:21" ht="32.25" customHeight="1" x14ac:dyDescent="0.5">
      <c r="A6" s="13">
        <v>2</v>
      </c>
      <c r="B6" s="83" t="str">
        <f>[64]รายการสรุป!$E$8</f>
        <v>เพิ่มประสิทธิภาพการกักเก็บน้ำเขื่อนกิ่วลม จ.ลำปาง</v>
      </c>
      <c r="C6" s="50" t="str">
        <f>[65]รายการสรุป!$I$7</f>
        <v>07003630X1410C05</v>
      </c>
      <c r="D6" s="29" t="s">
        <v>20</v>
      </c>
      <c r="E6" s="47">
        <f t="shared" si="2"/>
        <v>264892.38</v>
      </c>
      <c r="F6" s="47">
        <v>0</v>
      </c>
      <c r="G6" s="48">
        <v>264892.38</v>
      </c>
      <c r="H6" s="47">
        <f t="shared" si="0"/>
        <v>3821</v>
      </c>
      <c r="I6" s="47">
        <f t="shared" si="3"/>
        <v>1.4424725996270635</v>
      </c>
      <c r="J6" s="47">
        <v>0</v>
      </c>
      <c r="K6" s="47">
        <f>3821</f>
        <v>3821</v>
      </c>
      <c r="L6" s="47">
        <f t="shared" si="4"/>
        <v>0</v>
      </c>
      <c r="M6" s="47">
        <f t="shared" si="5"/>
        <v>0</v>
      </c>
      <c r="N6" s="47">
        <v>0</v>
      </c>
      <c r="O6" s="47">
        <v>0</v>
      </c>
      <c r="P6" s="47">
        <f t="shared" si="6"/>
        <v>261071.38</v>
      </c>
      <c r="Q6" s="47">
        <f t="shared" si="7"/>
        <v>98.557527400372933</v>
      </c>
      <c r="R6" s="47">
        <f t="shared" si="1"/>
        <v>0</v>
      </c>
      <c r="S6" s="30">
        <f t="shared" si="1"/>
        <v>261071.38</v>
      </c>
    </row>
    <row r="7" spans="1:21" ht="27.75" customHeight="1" x14ac:dyDescent="0.5">
      <c r="A7" s="10"/>
      <c r="B7" s="12"/>
      <c r="C7" s="1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9" spans="1:21" x14ac:dyDescent="0.5">
      <c r="Q9" s="88" t="s">
        <v>10</v>
      </c>
      <c r="R9" s="88"/>
      <c r="S9" s="88"/>
    </row>
    <row r="10" spans="1:21" x14ac:dyDescent="0.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88" t="s">
        <v>11</v>
      </c>
      <c r="R10" s="88"/>
      <c r="S10" s="88"/>
    </row>
    <row r="11" spans="1:21" x14ac:dyDescent="0.5">
      <c r="Q11" s="88" t="s">
        <v>12</v>
      </c>
      <c r="R11" s="88"/>
      <c r="S11" s="88"/>
    </row>
    <row r="12" spans="1:21" x14ac:dyDescent="0.5">
      <c r="Q12" s="88" t="s">
        <v>13</v>
      </c>
      <c r="R12" s="88"/>
      <c r="S12" s="88"/>
    </row>
    <row r="13" spans="1:21" x14ac:dyDescent="0.5">
      <c r="Q13" s="40"/>
      <c r="R13" s="40"/>
      <c r="S13" s="40"/>
    </row>
    <row r="14" spans="1:21" x14ac:dyDescent="0.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0"/>
      <c r="R14" s="16"/>
      <c r="S14" s="16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2562</vt:lpstr>
      <vt:lpstr>งบกลาง สชป.2</vt:lpstr>
      <vt:lpstr>00743 เรือขุด ปี 62</vt:lpstr>
      <vt:lpstr>00712 ก่อสร้างปี 62 </vt:lpstr>
      <vt:lpstr>ขยาย 61</vt:lpstr>
      <vt:lpstr>เงินขยาย 60  .</vt:lpstr>
      <vt:lpstr>00712 ก่อสร้าง ขยาย 61</vt:lpstr>
      <vt:lpstr>00743 เรือขุด ขยาย 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2019-04-18T06:26:24Z</dcterms:modified>
</cp:coreProperties>
</file>