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800" activeTab="5"/>
  </bookViews>
  <sheets>
    <sheet name="2560" sheetId="1" r:id="rId1"/>
    <sheet name="เงินกันไม่มีหนี้" sheetId="7" r:id="rId2"/>
    <sheet name="กันปี 59 กรมบัญชีกลาง" sheetId="11" r:id="rId3"/>
    <sheet name="ปี 60   00712" sheetId="8" r:id="rId4"/>
    <sheet name="เงินกัน 00712 (2)" sheetId="9" r:id="rId5"/>
    <sheet name="เงินนอกงบประมาณ อ่างแม่เฟือง" sheetId="12" r:id="rId6"/>
    <sheet name="Sheet1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calcPr calcId="152511"/>
</workbook>
</file>

<file path=xl/calcChain.xml><?xml version="1.0" encoding="utf-8"?>
<calcChain xmlns="http://schemas.openxmlformats.org/spreadsheetml/2006/main">
  <c r="K292" i="1" l="1"/>
  <c r="K288" i="1"/>
  <c r="K285" i="1"/>
  <c r="K277" i="1"/>
  <c r="K181" i="1"/>
  <c r="K183" i="1"/>
  <c r="K99" i="1"/>
  <c r="K7" i="11"/>
  <c r="K278" i="1" l="1"/>
  <c r="K251" i="1"/>
  <c r="K225" i="1"/>
  <c r="K221" i="1"/>
  <c r="K7" i="1"/>
  <c r="K286" i="1" l="1"/>
  <c r="K218" i="1"/>
  <c r="K6" i="8" l="1"/>
  <c r="K289" i="1" l="1"/>
  <c r="K238" i="1"/>
  <c r="K240" i="1"/>
  <c r="K237" i="1"/>
  <c r="K215" i="1"/>
  <c r="K265" i="1" l="1"/>
  <c r="K229" i="1"/>
  <c r="K182" i="1"/>
  <c r="K86" i="1"/>
  <c r="K192" i="1"/>
  <c r="K64" i="1"/>
  <c r="J5" i="12" l="1"/>
  <c r="K291" i="1" l="1"/>
  <c r="K236" i="1"/>
  <c r="K274" i="1"/>
  <c r="K213" i="1"/>
  <c r="K223" i="1"/>
  <c r="K198" i="1"/>
  <c r="K81" i="1"/>
  <c r="K78" i="1"/>
  <c r="K76" i="1"/>
  <c r="K77" i="1"/>
  <c r="K75" i="1"/>
  <c r="K74" i="1"/>
  <c r="K72" i="1"/>
  <c r="K80" i="1"/>
  <c r="K79" i="1"/>
  <c r="K73" i="1"/>
  <c r="K71" i="1"/>
  <c r="K70" i="1"/>
  <c r="K179" i="1"/>
  <c r="K8" i="11"/>
  <c r="H295" i="1" l="1"/>
  <c r="H296" i="1"/>
  <c r="H294" i="1"/>
  <c r="J293" i="1"/>
  <c r="K293" i="1"/>
  <c r="F293" i="1"/>
  <c r="G296" i="1"/>
  <c r="S296" i="1" s="1"/>
  <c r="G295" i="1"/>
  <c r="E295" i="1" s="1"/>
  <c r="E296" i="1"/>
  <c r="E294" i="1"/>
  <c r="G294" i="1"/>
  <c r="L295" i="1"/>
  <c r="R295" i="1"/>
  <c r="L296" i="1"/>
  <c r="R296" i="1"/>
  <c r="B296" i="1"/>
  <c r="B295" i="1"/>
  <c r="B294" i="1"/>
  <c r="C296" i="1"/>
  <c r="C295" i="1"/>
  <c r="C294" i="1"/>
  <c r="R294" i="1"/>
  <c r="L294" i="1"/>
  <c r="O293" i="1"/>
  <c r="N293" i="1"/>
  <c r="R293" i="1"/>
  <c r="M294" i="1" l="1"/>
  <c r="G293" i="1"/>
  <c r="I295" i="1"/>
  <c r="M296" i="1"/>
  <c r="I296" i="1"/>
  <c r="P296" i="1"/>
  <c r="Q296" i="1" s="1"/>
  <c r="M295" i="1"/>
  <c r="S295" i="1"/>
  <c r="P295" i="1" s="1"/>
  <c r="Q295" i="1" s="1"/>
  <c r="L293" i="1"/>
  <c r="S293" i="1"/>
  <c r="P293" i="1" s="1"/>
  <c r="H293" i="1"/>
  <c r="I294" i="1"/>
  <c r="S294" i="1"/>
  <c r="P294" i="1" s="1"/>
  <c r="Q294" i="1" s="1"/>
  <c r="E293" i="1"/>
  <c r="M293" i="1" s="1"/>
  <c r="K208" i="1"/>
  <c r="K65" i="1"/>
  <c r="K68" i="1"/>
  <c r="K34" i="1"/>
  <c r="K18" i="1"/>
  <c r="Q293" i="1" l="1"/>
  <c r="I293" i="1"/>
  <c r="K264" i="1"/>
  <c r="K207" i="1" l="1"/>
  <c r="K62" i="1"/>
  <c r="K233" i="1" l="1"/>
  <c r="K235" i="1" l="1"/>
  <c r="K246" i="1" l="1"/>
  <c r="K248" i="1"/>
  <c r="K220" i="1"/>
  <c r="K63" i="1"/>
  <c r="K9" i="1"/>
  <c r="K263" i="1" l="1"/>
  <c r="K195" i="1"/>
  <c r="K196" i="1"/>
  <c r="J288" i="1" l="1"/>
  <c r="K43" i="1" l="1"/>
  <c r="J282" i="1" l="1"/>
  <c r="J250" i="1"/>
  <c r="J245" i="1"/>
  <c r="J234" i="1"/>
  <c r="J224" i="1"/>
  <c r="J222" i="1"/>
  <c r="K247" i="1" l="1"/>
  <c r="K187" i="1" l="1"/>
  <c r="O193" i="1" l="1"/>
  <c r="G198" i="1"/>
  <c r="E198" i="1" s="1"/>
  <c r="H198" i="1"/>
  <c r="L198" i="1"/>
  <c r="R198" i="1"/>
  <c r="C198" i="1"/>
  <c r="B198" i="1"/>
  <c r="M198" i="1" l="1"/>
  <c r="S198" i="1"/>
  <c r="P198" i="1" s="1"/>
  <c r="Q198" i="1" s="1"/>
  <c r="I198" i="1"/>
  <c r="K244" i="1" l="1"/>
  <c r="K243" i="1"/>
  <c r="K241" i="1"/>
  <c r="K272" i="1" l="1"/>
  <c r="K203" i="1"/>
  <c r="K206" i="1"/>
  <c r="K217" i="1"/>
  <c r="K125" i="1"/>
  <c r="M4" i="12" l="1"/>
  <c r="N4" i="12"/>
  <c r="I4" i="12"/>
  <c r="J4" i="12"/>
  <c r="E4" i="12"/>
  <c r="F4" i="12"/>
  <c r="D5" i="12"/>
  <c r="Q5" i="12"/>
  <c r="K5" i="12"/>
  <c r="K4" i="12"/>
  <c r="L5" i="12" l="1"/>
  <c r="G4" i="12"/>
  <c r="Q4" i="12"/>
  <c r="R5" i="12"/>
  <c r="O5" i="12" s="1"/>
  <c r="P5" i="12" s="1"/>
  <c r="R4" i="12"/>
  <c r="H5" i="12"/>
  <c r="D4" i="12"/>
  <c r="O4" i="12" l="1"/>
  <c r="P4" i="12" s="1"/>
  <c r="L4" i="12"/>
  <c r="H4" i="12"/>
  <c r="K194" i="1" l="1"/>
  <c r="K193" i="1" s="1"/>
  <c r="K177" i="1" l="1"/>
  <c r="K32" i="1"/>
  <c r="K29" i="1"/>
  <c r="K191" i="1" l="1"/>
  <c r="K14" i="1"/>
  <c r="G289" i="1" l="1"/>
  <c r="G288" i="1"/>
  <c r="K190" i="1" l="1"/>
  <c r="K9" i="9" l="1"/>
  <c r="K10" i="9"/>
  <c r="K188" i="1"/>
  <c r="K189" i="1"/>
  <c r="K269" i="1"/>
  <c r="K82" i="1" l="1"/>
  <c r="K7" i="9" l="1"/>
  <c r="K7" i="7" l="1"/>
  <c r="K13" i="7" l="1"/>
  <c r="B197" i="1" l="1"/>
  <c r="G197" i="1"/>
  <c r="E197" i="1" s="1"/>
  <c r="C197" i="1"/>
  <c r="H197" i="1"/>
  <c r="L197" i="1"/>
  <c r="R197" i="1"/>
  <c r="S197" i="1" l="1"/>
  <c r="P197" i="1" s="1"/>
  <c r="Q197" i="1" s="1"/>
  <c r="I197" i="1"/>
  <c r="M197" i="1"/>
  <c r="F285" i="1"/>
  <c r="K67" i="1" l="1"/>
  <c r="K49" i="1" l="1"/>
  <c r="K10" i="1"/>
  <c r="K13" i="1" l="1"/>
  <c r="G274" i="1" l="1"/>
  <c r="S274" i="1" s="1"/>
  <c r="C274" i="1"/>
  <c r="B274" i="1"/>
  <c r="R274" i="1"/>
  <c r="L274" i="1"/>
  <c r="H274" i="1"/>
  <c r="O273" i="1"/>
  <c r="N273" i="1"/>
  <c r="L273" i="1"/>
  <c r="K273" i="1"/>
  <c r="J273" i="1"/>
  <c r="G273" i="1"/>
  <c r="F273" i="1"/>
  <c r="E273" i="1" l="1"/>
  <c r="R273" i="1"/>
  <c r="H273" i="1"/>
  <c r="E274" i="1"/>
  <c r="I274" i="1" s="1"/>
  <c r="P274" i="1"/>
  <c r="I273" i="1"/>
  <c r="S273" i="1"/>
  <c r="P273" i="1" s="1"/>
  <c r="Q273" i="1" s="1"/>
  <c r="M274" i="1" l="1"/>
  <c r="Q274" i="1"/>
  <c r="N5" i="11"/>
  <c r="N4" i="11" s="1"/>
  <c r="O5" i="11"/>
  <c r="O4" i="11" s="1"/>
  <c r="K5" i="11"/>
  <c r="K4" i="11" s="1"/>
  <c r="G8" i="11"/>
  <c r="S8" i="11" s="1"/>
  <c r="G7" i="11"/>
  <c r="S7" i="11" s="1"/>
  <c r="G6" i="11"/>
  <c r="S6" i="11" s="1"/>
  <c r="C7" i="11"/>
  <c r="C8" i="11"/>
  <c r="C6" i="11"/>
  <c r="B8" i="11"/>
  <c r="B7" i="11"/>
  <c r="B6" i="11"/>
  <c r="R8" i="11"/>
  <c r="L8" i="11"/>
  <c r="H8" i="11"/>
  <c r="R7" i="11"/>
  <c r="L7" i="11"/>
  <c r="R6" i="11"/>
  <c r="L6" i="11"/>
  <c r="J5" i="11"/>
  <c r="J4" i="11" s="1"/>
  <c r="F5" i="11"/>
  <c r="F4" i="11" s="1"/>
  <c r="G5" i="11" l="1"/>
  <c r="G4" i="11" s="1"/>
  <c r="P6" i="11"/>
  <c r="P8" i="11"/>
  <c r="L5" i="11"/>
  <c r="E7" i="11"/>
  <c r="E5" i="11"/>
  <c r="R4" i="11"/>
  <c r="E6" i="11"/>
  <c r="M6" i="11" s="1"/>
  <c r="M7" i="11"/>
  <c r="H6" i="11"/>
  <c r="P7" i="11"/>
  <c r="Q7" i="11" s="1"/>
  <c r="H5" i="11"/>
  <c r="I5" i="11" s="1"/>
  <c r="S5" i="11"/>
  <c r="L4" i="11"/>
  <c r="R5" i="11"/>
  <c r="E8" i="11"/>
  <c r="I8" i="11" s="1"/>
  <c r="H7" i="11"/>
  <c r="I7" i="11" s="1"/>
  <c r="Q6" i="11" l="1"/>
  <c r="M5" i="11"/>
  <c r="I6" i="11"/>
  <c r="P5" i="11"/>
  <c r="Q5" i="11" s="1"/>
  <c r="Q8" i="11"/>
  <c r="M8" i="11"/>
  <c r="H4" i="11"/>
  <c r="O11" i="1" l="1"/>
  <c r="G68" i="1"/>
  <c r="S68" i="1" s="1"/>
  <c r="B68" i="1"/>
  <c r="C68" i="1"/>
  <c r="R68" i="1"/>
  <c r="L68" i="1"/>
  <c r="H68" i="1"/>
  <c r="E68" i="1" l="1"/>
  <c r="I68" i="1" s="1"/>
  <c r="E4" i="11"/>
  <c r="S4" i="11"/>
  <c r="P68" i="1"/>
  <c r="Q68" i="1" s="1"/>
  <c r="M68" i="1" l="1"/>
  <c r="P4" i="11"/>
  <c r="Q4" i="11" s="1"/>
  <c r="M4" i="11"/>
  <c r="I4" i="11"/>
  <c r="K24" i="1"/>
  <c r="T4" i="11" l="1"/>
  <c r="K173" i="1"/>
  <c r="K186" i="1" l="1"/>
  <c r="K185" i="1"/>
  <c r="K249" i="1" l="1"/>
  <c r="K110" i="1" l="1"/>
  <c r="O290" i="1" l="1"/>
  <c r="K290" i="1"/>
  <c r="G292" i="1"/>
  <c r="E292" i="1" s="1"/>
  <c r="C292" i="1"/>
  <c r="B292" i="1"/>
  <c r="H292" i="1"/>
  <c r="L292" i="1"/>
  <c r="R292" i="1"/>
  <c r="S292" i="1"/>
  <c r="P292" i="1" l="1"/>
  <c r="M292" i="1"/>
  <c r="I292" i="1"/>
  <c r="Q292" i="1"/>
  <c r="K26" i="1" l="1"/>
  <c r="K58" i="1"/>
  <c r="K56" i="1"/>
  <c r="K126" i="1"/>
  <c r="K92" i="1"/>
  <c r="K234" i="1" l="1"/>
  <c r="G244" i="1"/>
  <c r="E244" i="1" s="1"/>
  <c r="G243" i="1"/>
  <c r="E243" i="1" s="1"/>
  <c r="G242" i="1"/>
  <c r="E242" i="1" s="1"/>
  <c r="G241" i="1"/>
  <c r="S241" i="1" s="1"/>
  <c r="C242" i="1"/>
  <c r="C243" i="1"/>
  <c r="C244" i="1"/>
  <c r="C241" i="1"/>
  <c r="B244" i="1"/>
  <c r="B243" i="1"/>
  <c r="B242" i="1"/>
  <c r="B241" i="1"/>
  <c r="H242" i="1"/>
  <c r="L242" i="1"/>
  <c r="R242" i="1"/>
  <c r="H243" i="1"/>
  <c r="L243" i="1"/>
  <c r="R243" i="1"/>
  <c r="H244" i="1"/>
  <c r="L244" i="1"/>
  <c r="R244" i="1"/>
  <c r="H241" i="1"/>
  <c r="L241" i="1"/>
  <c r="R241" i="1"/>
  <c r="M243" i="1" l="1"/>
  <c r="P241" i="1"/>
  <c r="I244" i="1"/>
  <c r="M244" i="1"/>
  <c r="S244" i="1"/>
  <c r="P244" i="1" s="1"/>
  <c r="Q244" i="1" s="1"/>
  <c r="I243" i="1"/>
  <c r="S243" i="1"/>
  <c r="P243" i="1" s="1"/>
  <c r="Q243" i="1" s="1"/>
  <c r="M242" i="1"/>
  <c r="I242" i="1"/>
  <c r="S242" i="1"/>
  <c r="P242" i="1" s="1"/>
  <c r="Q242" i="1" s="1"/>
  <c r="E241" i="1"/>
  <c r="M241" i="1" s="1"/>
  <c r="K109" i="1"/>
  <c r="Q241" i="1" l="1"/>
  <c r="I241" i="1"/>
  <c r="K66" i="1" l="1"/>
  <c r="K52" i="1"/>
  <c r="K96" i="1"/>
  <c r="K57" i="1"/>
  <c r="K108" i="1"/>
  <c r="K123" i="1"/>
  <c r="O184" i="1" l="1"/>
  <c r="K184" i="1"/>
  <c r="F184" i="1"/>
  <c r="G192" i="1"/>
  <c r="E192" i="1" s="1"/>
  <c r="G191" i="1"/>
  <c r="E191" i="1" s="1"/>
  <c r="G190" i="1"/>
  <c r="S190" i="1" s="1"/>
  <c r="H191" i="1"/>
  <c r="L191" i="1"/>
  <c r="R191" i="1"/>
  <c r="H192" i="1"/>
  <c r="L192" i="1"/>
  <c r="R192" i="1"/>
  <c r="B192" i="1"/>
  <c r="B191" i="1"/>
  <c r="B190" i="1"/>
  <c r="C192" i="1"/>
  <c r="C191" i="1"/>
  <c r="C190" i="1"/>
  <c r="H190" i="1"/>
  <c r="L190" i="1"/>
  <c r="R190" i="1"/>
  <c r="M192" i="1" l="1"/>
  <c r="I192" i="1"/>
  <c r="S192" i="1"/>
  <c r="P192" i="1" s="1"/>
  <c r="Q192" i="1" s="1"/>
  <c r="M191" i="1"/>
  <c r="I191" i="1"/>
  <c r="S191" i="1"/>
  <c r="P191" i="1" s="1"/>
  <c r="Q191" i="1" s="1"/>
  <c r="P190" i="1"/>
  <c r="E190" i="1"/>
  <c r="M190" i="1" s="1"/>
  <c r="O199" i="1"/>
  <c r="K199" i="1"/>
  <c r="G200" i="1"/>
  <c r="G199" i="1" s="1"/>
  <c r="C200" i="1"/>
  <c r="B200" i="1"/>
  <c r="R200" i="1"/>
  <c r="L200" i="1"/>
  <c r="N199" i="1"/>
  <c r="J199" i="1"/>
  <c r="Q190" i="1" l="1"/>
  <c r="I190" i="1"/>
  <c r="E200" i="1"/>
  <c r="M200" i="1" s="1"/>
  <c r="L199" i="1"/>
  <c r="K11" i="7"/>
  <c r="K10" i="7"/>
  <c r="A19" i="10" l="1"/>
  <c r="B20" i="10" s="1"/>
  <c r="K53" i="1"/>
  <c r="K40" i="1" l="1"/>
  <c r="K21" i="1"/>
  <c r="K60" i="1"/>
  <c r="K55" i="1"/>
  <c r="K16" i="9" l="1"/>
  <c r="N290" i="1" l="1"/>
  <c r="J290" i="1"/>
  <c r="F290" i="1"/>
  <c r="G291" i="1"/>
  <c r="G290" i="1" s="1"/>
  <c r="R290" i="1" l="1"/>
  <c r="L290" i="1"/>
  <c r="H290" i="1"/>
  <c r="S290" i="1"/>
  <c r="E290" i="1"/>
  <c r="S291" i="1"/>
  <c r="L291" i="1"/>
  <c r="H291" i="1"/>
  <c r="R291" i="1"/>
  <c r="E291" i="1"/>
  <c r="C291" i="1"/>
  <c r="B291" i="1"/>
  <c r="I291" i="1" l="1"/>
  <c r="I290" i="1"/>
  <c r="M291" i="1"/>
  <c r="P290" i="1"/>
  <c r="Q290" i="1" s="1"/>
  <c r="M290" i="1"/>
  <c r="P291" i="1"/>
  <c r="Q291" i="1" s="1"/>
  <c r="K17" i="1"/>
  <c r="K121" i="1"/>
  <c r="T290" i="1" l="1"/>
  <c r="F276" i="1"/>
  <c r="F289" i="1" l="1"/>
  <c r="E289" i="1" s="1"/>
  <c r="F288" i="1"/>
  <c r="R288" i="1" s="1"/>
  <c r="H289" i="1"/>
  <c r="L289" i="1"/>
  <c r="R289" i="1"/>
  <c r="S289" i="1"/>
  <c r="L288" i="1"/>
  <c r="H288" i="1"/>
  <c r="S288" i="1"/>
  <c r="B289" i="1"/>
  <c r="B288" i="1"/>
  <c r="C289" i="1"/>
  <c r="C288" i="1"/>
  <c r="O287" i="1"/>
  <c r="N287" i="1"/>
  <c r="K287" i="1"/>
  <c r="J287" i="1"/>
  <c r="M289" i="1" l="1"/>
  <c r="P289" i="1"/>
  <c r="Q289" i="1" s="1"/>
  <c r="F287" i="1"/>
  <c r="R287" i="1" s="1"/>
  <c r="I289" i="1"/>
  <c r="P288" i="1"/>
  <c r="E288" i="1"/>
  <c r="I288" i="1" s="1"/>
  <c r="G287" i="1"/>
  <c r="S287" i="1" s="1"/>
  <c r="H287" i="1"/>
  <c r="L287" i="1"/>
  <c r="K50" i="1"/>
  <c r="K35" i="1"/>
  <c r="K117" i="1"/>
  <c r="K113" i="1"/>
  <c r="K105" i="1"/>
  <c r="K106" i="1"/>
  <c r="K16" i="1"/>
  <c r="E287" i="1" l="1"/>
  <c r="P287" i="1"/>
  <c r="Q287" i="1" s="1"/>
  <c r="M288" i="1"/>
  <c r="Q288" i="1"/>
  <c r="I287" i="1"/>
  <c r="K36" i="1"/>
  <c r="K176" i="1"/>
  <c r="K19" i="1"/>
  <c r="K175" i="1"/>
  <c r="K104" i="1"/>
  <c r="K85" i="1"/>
  <c r="B29" i="1"/>
  <c r="K25" i="1"/>
  <c r="K20" i="1"/>
  <c r="K103" i="1"/>
  <c r="K91" i="1"/>
  <c r="K54" i="1" l="1"/>
  <c r="K118" i="1"/>
  <c r="K102" i="1"/>
  <c r="K38" i="1" l="1"/>
  <c r="K15" i="1"/>
  <c r="K48" i="1" l="1"/>
  <c r="K59" i="1"/>
  <c r="K111" i="1"/>
  <c r="K51" i="1"/>
  <c r="K172" i="1" l="1"/>
  <c r="K98" i="1"/>
  <c r="K97" i="1"/>
  <c r="K46" i="1"/>
  <c r="K45" i="1"/>
  <c r="K41" i="1"/>
  <c r="K120" i="1"/>
  <c r="K127" i="1"/>
  <c r="K171" i="1"/>
  <c r="K61" i="1"/>
  <c r="K23" i="1"/>
  <c r="K107" i="1"/>
  <c r="K124" i="1"/>
  <c r="K115" i="1"/>
  <c r="K22" i="1"/>
  <c r="K89" i="1"/>
  <c r="K114" i="1"/>
  <c r="K84" i="1"/>
  <c r="K94" i="1"/>
  <c r="K47" i="1"/>
  <c r="K16" i="7" l="1"/>
  <c r="K14" i="7"/>
  <c r="K15" i="7" l="1"/>
  <c r="K12" i="7"/>
  <c r="K178" i="1" l="1"/>
  <c r="K119" i="1"/>
  <c r="K112" i="1"/>
  <c r="K12" i="1"/>
  <c r="K93" i="1" l="1"/>
  <c r="K100" i="1" l="1"/>
  <c r="K27" i="1" l="1"/>
  <c r="K90" i="1"/>
  <c r="K39" i="1"/>
  <c r="K95" i="1"/>
  <c r="K87" i="1"/>
  <c r="K42" i="1" l="1"/>
  <c r="K174" i="1"/>
  <c r="K33" i="1"/>
  <c r="O234" i="1" l="1"/>
  <c r="B240" i="1"/>
  <c r="B239" i="1"/>
  <c r="B238" i="1"/>
  <c r="B237" i="1"/>
  <c r="G240" i="1"/>
  <c r="E240" i="1" s="1"/>
  <c r="G239" i="1"/>
  <c r="E239" i="1" s="1"/>
  <c r="G238" i="1"/>
  <c r="E238" i="1" s="1"/>
  <c r="G237" i="1"/>
  <c r="S237" i="1" s="1"/>
  <c r="C240" i="1"/>
  <c r="C239" i="1"/>
  <c r="C238" i="1"/>
  <c r="C237" i="1"/>
  <c r="H238" i="1"/>
  <c r="L238" i="1"/>
  <c r="R238" i="1"/>
  <c r="H239" i="1"/>
  <c r="L239" i="1"/>
  <c r="R239" i="1"/>
  <c r="H240" i="1"/>
  <c r="L240" i="1"/>
  <c r="R240" i="1"/>
  <c r="H237" i="1"/>
  <c r="L237" i="1"/>
  <c r="R237" i="1"/>
  <c r="S239" i="1" l="1"/>
  <c r="P239" i="1" s="1"/>
  <c r="Q239" i="1" s="1"/>
  <c r="S240" i="1"/>
  <c r="P240" i="1" s="1"/>
  <c r="Q240" i="1" s="1"/>
  <c r="M239" i="1"/>
  <c r="P237" i="1"/>
  <c r="I240" i="1"/>
  <c r="M240" i="1"/>
  <c r="I239" i="1"/>
  <c r="M238" i="1"/>
  <c r="I238" i="1"/>
  <c r="S238" i="1"/>
  <c r="P238" i="1" s="1"/>
  <c r="Q238" i="1" s="1"/>
  <c r="E237" i="1"/>
  <c r="M237" i="1" s="1"/>
  <c r="K88" i="1"/>
  <c r="Q237" i="1" l="1"/>
  <c r="I237" i="1"/>
  <c r="G196" i="1" l="1"/>
  <c r="E196" i="1" s="1"/>
  <c r="G195" i="1"/>
  <c r="E195" i="1" s="1"/>
  <c r="H195" i="1"/>
  <c r="L195" i="1"/>
  <c r="R195" i="1"/>
  <c r="H196" i="1"/>
  <c r="L196" i="1"/>
  <c r="R196" i="1"/>
  <c r="G194" i="1"/>
  <c r="R194" i="1"/>
  <c r="L194" i="1"/>
  <c r="H194" i="1"/>
  <c r="N193" i="1"/>
  <c r="J193" i="1"/>
  <c r="F193" i="1"/>
  <c r="C196" i="1"/>
  <c r="C195" i="1"/>
  <c r="C194" i="1"/>
  <c r="B196" i="1"/>
  <c r="B195" i="1"/>
  <c r="B194" i="1"/>
  <c r="G193" i="1" l="1"/>
  <c r="M195" i="1"/>
  <c r="I196" i="1"/>
  <c r="S195" i="1"/>
  <c r="P195" i="1" s="1"/>
  <c r="Q195" i="1" s="1"/>
  <c r="S196" i="1"/>
  <c r="P196" i="1" s="1"/>
  <c r="Q196" i="1" s="1"/>
  <c r="M196" i="1"/>
  <c r="I195" i="1"/>
  <c r="L193" i="1"/>
  <c r="E193" i="1"/>
  <c r="H193" i="1"/>
  <c r="E194" i="1"/>
  <c r="I194" i="1" s="1"/>
  <c r="S194" i="1"/>
  <c r="P194" i="1" s="1"/>
  <c r="I193" i="1" l="1"/>
  <c r="Q194" i="1"/>
  <c r="M194" i="1"/>
  <c r="S193" i="1"/>
  <c r="K30" i="1" l="1"/>
  <c r="K31" i="1"/>
  <c r="K28" i="1"/>
  <c r="K122" i="1"/>
  <c r="O101" i="1" l="1"/>
  <c r="B127" i="1"/>
  <c r="B126" i="1"/>
  <c r="B125" i="1"/>
  <c r="G127" i="1"/>
  <c r="E127" i="1" s="1"/>
  <c r="G126" i="1"/>
  <c r="E126" i="1" s="1"/>
  <c r="G125" i="1"/>
  <c r="E125" i="1" s="1"/>
  <c r="C127" i="1"/>
  <c r="C126" i="1"/>
  <c r="C125" i="1"/>
  <c r="H125" i="1"/>
  <c r="L125" i="1"/>
  <c r="R125" i="1"/>
  <c r="H126" i="1"/>
  <c r="L126" i="1"/>
  <c r="R126" i="1"/>
  <c r="H127" i="1"/>
  <c r="L127" i="1"/>
  <c r="R127" i="1"/>
  <c r="O180" i="1"/>
  <c r="F180" i="1"/>
  <c r="G183" i="1"/>
  <c r="E183" i="1" s="1"/>
  <c r="C183" i="1"/>
  <c r="H183" i="1"/>
  <c r="L183" i="1"/>
  <c r="R183" i="1"/>
  <c r="M127" i="1" l="1"/>
  <c r="I127" i="1"/>
  <c r="S127" i="1"/>
  <c r="P127" i="1" s="1"/>
  <c r="Q127" i="1" s="1"/>
  <c r="S126" i="1"/>
  <c r="P126" i="1" s="1"/>
  <c r="Q126" i="1" s="1"/>
  <c r="I126" i="1"/>
  <c r="M126" i="1"/>
  <c r="M125" i="1"/>
  <c r="I125" i="1"/>
  <c r="S125" i="1"/>
  <c r="P125" i="1" s="1"/>
  <c r="Q125" i="1" s="1"/>
  <c r="I183" i="1"/>
  <c r="M183" i="1"/>
  <c r="S183" i="1"/>
  <c r="P183" i="1" s="1"/>
  <c r="Q183" i="1" s="1"/>
  <c r="K37" i="1"/>
  <c r="K11" i="1" s="1"/>
  <c r="J5" i="7" l="1"/>
  <c r="J17" i="7" l="1"/>
  <c r="J4" i="7" s="1"/>
  <c r="B67" i="1" l="1"/>
  <c r="G67" i="1"/>
  <c r="E67" i="1" s="1"/>
  <c r="C67" i="1"/>
  <c r="H67" i="1"/>
  <c r="L67" i="1"/>
  <c r="R67" i="1"/>
  <c r="M67" i="1" l="1"/>
  <c r="I67" i="1"/>
  <c r="S67" i="1"/>
  <c r="P67" i="1" s="1"/>
  <c r="Q67" i="1" s="1"/>
  <c r="K180" i="1"/>
  <c r="K116" i="1"/>
  <c r="K101" i="1" s="1"/>
  <c r="K13" i="9" l="1"/>
  <c r="O202" i="1" l="1"/>
  <c r="K202" i="1"/>
  <c r="B208" i="1"/>
  <c r="C208" i="1"/>
  <c r="G208" i="1"/>
  <c r="E208" i="1" s="1"/>
  <c r="H208" i="1"/>
  <c r="L208" i="1"/>
  <c r="R208" i="1"/>
  <c r="M208" i="1" l="1"/>
  <c r="S208" i="1"/>
  <c r="P208" i="1" s="1"/>
  <c r="Q208" i="1" s="1"/>
  <c r="I208" i="1"/>
  <c r="O282" i="1" l="1"/>
  <c r="K282" i="1"/>
  <c r="G283" i="1"/>
  <c r="B283" i="1"/>
  <c r="C283" i="1"/>
  <c r="L283" i="1"/>
  <c r="H283" i="1"/>
  <c r="G282" i="1" l="1"/>
  <c r="S283" i="1"/>
  <c r="B189" i="1" l="1"/>
  <c r="B188" i="1"/>
  <c r="B187" i="1"/>
  <c r="G189" i="1"/>
  <c r="S189" i="1" s="1"/>
  <c r="G188" i="1"/>
  <c r="E188" i="1" s="1"/>
  <c r="G187" i="1"/>
  <c r="E187" i="1" s="1"/>
  <c r="C189" i="1"/>
  <c r="C188" i="1"/>
  <c r="C187" i="1"/>
  <c r="H188" i="1"/>
  <c r="L188" i="1"/>
  <c r="R188" i="1"/>
  <c r="H189" i="1"/>
  <c r="L189" i="1"/>
  <c r="R189" i="1"/>
  <c r="H187" i="1"/>
  <c r="L187" i="1"/>
  <c r="R187" i="1"/>
  <c r="M188" i="1" l="1"/>
  <c r="S187" i="1"/>
  <c r="P187" i="1" s="1"/>
  <c r="Q187" i="1" s="1"/>
  <c r="S188" i="1"/>
  <c r="P188" i="1" s="1"/>
  <c r="Q188" i="1" s="1"/>
  <c r="E189" i="1"/>
  <c r="P189" i="1"/>
  <c r="I188" i="1"/>
  <c r="I187" i="1"/>
  <c r="M187" i="1"/>
  <c r="Q189" i="1" l="1"/>
  <c r="I189" i="1"/>
  <c r="M189" i="1"/>
  <c r="B66" i="1" l="1"/>
  <c r="G66" i="1"/>
  <c r="E66" i="1" s="1"/>
  <c r="C66" i="1"/>
  <c r="H66" i="1"/>
  <c r="L66" i="1"/>
  <c r="R66" i="1"/>
  <c r="G18" i="1"/>
  <c r="E18" i="1" s="1"/>
  <c r="B19" i="1"/>
  <c r="B18" i="1"/>
  <c r="C18" i="1"/>
  <c r="H18" i="1"/>
  <c r="L18" i="1"/>
  <c r="R18" i="1"/>
  <c r="M18" i="1" l="1"/>
  <c r="M66" i="1"/>
  <c r="S18" i="1"/>
  <c r="P18" i="1" s="1"/>
  <c r="Q18" i="1" s="1"/>
  <c r="I18" i="1"/>
  <c r="S66" i="1"/>
  <c r="P66" i="1" s="1"/>
  <c r="Q66" i="1" s="1"/>
  <c r="I66" i="1"/>
  <c r="O267" i="1"/>
  <c r="K267" i="1"/>
  <c r="G270" i="1"/>
  <c r="S270" i="1" s="1"/>
  <c r="B270" i="1"/>
  <c r="C270" i="1"/>
  <c r="H270" i="1"/>
  <c r="L270" i="1"/>
  <c r="R270" i="1"/>
  <c r="O262" i="1"/>
  <c r="K262" i="1"/>
  <c r="F262" i="1"/>
  <c r="G266" i="1"/>
  <c r="S266" i="1" s="1"/>
  <c r="B266" i="1"/>
  <c r="C266" i="1"/>
  <c r="H266" i="1"/>
  <c r="L266" i="1"/>
  <c r="R266" i="1"/>
  <c r="P270" i="1" l="1"/>
  <c r="E270" i="1"/>
  <c r="M270" i="1" s="1"/>
  <c r="E266" i="1"/>
  <c r="I266" i="1" s="1"/>
  <c r="P266" i="1"/>
  <c r="B207" i="1"/>
  <c r="G207" i="1"/>
  <c r="E207" i="1" s="1"/>
  <c r="H207" i="1"/>
  <c r="L207" i="1"/>
  <c r="R207" i="1"/>
  <c r="C207" i="1"/>
  <c r="Q266" i="1" l="1"/>
  <c r="S207" i="1"/>
  <c r="P207" i="1" s="1"/>
  <c r="Q207" i="1" s="1"/>
  <c r="Q270" i="1"/>
  <c r="I270" i="1"/>
  <c r="M266" i="1"/>
  <c r="I207" i="1"/>
  <c r="M207" i="1"/>
  <c r="O128" i="1" l="1"/>
  <c r="K128" i="1"/>
  <c r="G179" i="1"/>
  <c r="S179" i="1" s="1"/>
  <c r="B179" i="1"/>
  <c r="C179" i="1"/>
  <c r="H179" i="1"/>
  <c r="L179" i="1"/>
  <c r="R179" i="1"/>
  <c r="P179" i="1" l="1"/>
  <c r="E179" i="1"/>
  <c r="M179" i="1" s="1"/>
  <c r="I179" i="1" l="1"/>
  <c r="Q179" i="1"/>
  <c r="K15" i="9" l="1"/>
  <c r="O83" i="1" l="1"/>
  <c r="K83" i="1"/>
  <c r="G100" i="1"/>
  <c r="E100" i="1" s="1"/>
  <c r="C100" i="1"/>
  <c r="B100" i="1"/>
  <c r="H100" i="1"/>
  <c r="L100" i="1"/>
  <c r="R100" i="1"/>
  <c r="S100" i="1" l="1"/>
  <c r="P100" i="1" s="1"/>
  <c r="Q100" i="1" s="1"/>
  <c r="M100" i="1"/>
  <c r="I100" i="1"/>
  <c r="B65" i="1" l="1"/>
  <c r="B64" i="1"/>
  <c r="B63" i="1"/>
  <c r="B62" i="1"/>
  <c r="G65" i="1"/>
  <c r="E65" i="1" s="1"/>
  <c r="G64" i="1"/>
  <c r="E64" i="1" s="1"/>
  <c r="G63" i="1"/>
  <c r="E63" i="1" s="1"/>
  <c r="G62" i="1"/>
  <c r="E62" i="1" s="1"/>
  <c r="C65" i="1"/>
  <c r="C64" i="1"/>
  <c r="C63" i="1"/>
  <c r="C62" i="1"/>
  <c r="H63" i="1"/>
  <c r="L63" i="1"/>
  <c r="R63" i="1"/>
  <c r="H64" i="1"/>
  <c r="L64" i="1"/>
  <c r="R64" i="1"/>
  <c r="H65" i="1"/>
  <c r="L65" i="1"/>
  <c r="R65" i="1"/>
  <c r="H62" i="1"/>
  <c r="L62" i="1"/>
  <c r="R62" i="1"/>
  <c r="B99" i="1"/>
  <c r="G99" i="1"/>
  <c r="E99" i="1" s="1"/>
  <c r="C99" i="1"/>
  <c r="H99" i="1"/>
  <c r="L99" i="1"/>
  <c r="R99" i="1"/>
  <c r="M99" i="1" l="1"/>
  <c r="M62" i="1"/>
  <c r="M63" i="1"/>
  <c r="I65" i="1"/>
  <c r="S62" i="1"/>
  <c r="P62" i="1" s="1"/>
  <c r="Q62" i="1" s="1"/>
  <c r="S99" i="1"/>
  <c r="P99" i="1" s="1"/>
  <c r="Q99" i="1" s="1"/>
  <c r="M65" i="1"/>
  <c r="S65" i="1"/>
  <c r="P65" i="1" s="1"/>
  <c r="Q65" i="1" s="1"/>
  <c r="I64" i="1"/>
  <c r="M64" i="1"/>
  <c r="S64" i="1"/>
  <c r="P64" i="1" s="1"/>
  <c r="Q64" i="1" s="1"/>
  <c r="I63" i="1"/>
  <c r="S63" i="1"/>
  <c r="P63" i="1" s="1"/>
  <c r="Q63" i="1" s="1"/>
  <c r="I62" i="1"/>
  <c r="I99" i="1"/>
  <c r="K8" i="7" l="1"/>
  <c r="N5" i="1"/>
  <c r="J5" i="1"/>
  <c r="F6" i="1"/>
  <c r="F5" i="1" s="1"/>
  <c r="R5" i="1" l="1"/>
  <c r="E6" i="1"/>
  <c r="B6" i="1"/>
  <c r="C6" i="1"/>
  <c r="R6" i="1"/>
  <c r="L6" i="1"/>
  <c r="H6" i="1"/>
  <c r="S6" i="1" l="1"/>
  <c r="P6" i="1" s="1"/>
  <c r="Q6" i="1" s="1"/>
  <c r="I6" i="1"/>
  <c r="M6" i="1"/>
  <c r="G272" i="1"/>
  <c r="E272" i="1" s="1"/>
  <c r="B272" i="1"/>
  <c r="C272" i="1"/>
  <c r="O271" i="1"/>
  <c r="G271" i="1"/>
  <c r="R272" i="1"/>
  <c r="L272" i="1"/>
  <c r="H272" i="1"/>
  <c r="S272" i="1"/>
  <c r="N271" i="1"/>
  <c r="K271" i="1"/>
  <c r="J271" i="1"/>
  <c r="F271" i="1"/>
  <c r="G269" i="1"/>
  <c r="E269" i="1" s="1"/>
  <c r="G268" i="1"/>
  <c r="B269" i="1"/>
  <c r="B268" i="1"/>
  <c r="C269" i="1"/>
  <c r="C268" i="1"/>
  <c r="H269" i="1"/>
  <c r="L269" i="1"/>
  <c r="R269" i="1"/>
  <c r="R268" i="1"/>
  <c r="L268" i="1"/>
  <c r="H268" i="1"/>
  <c r="N267" i="1"/>
  <c r="J267" i="1"/>
  <c r="F267" i="1"/>
  <c r="G265" i="1"/>
  <c r="E265" i="1" s="1"/>
  <c r="G264" i="1"/>
  <c r="E264" i="1" s="1"/>
  <c r="G263" i="1"/>
  <c r="B265" i="1"/>
  <c r="B264" i="1"/>
  <c r="B263" i="1"/>
  <c r="H264" i="1"/>
  <c r="L264" i="1"/>
  <c r="R264" i="1"/>
  <c r="H265" i="1"/>
  <c r="L265" i="1"/>
  <c r="R265" i="1"/>
  <c r="R263" i="1"/>
  <c r="L263" i="1"/>
  <c r="H263" i="1"/>
  <c r="C265" i="1"/>
  <c r="C264" i="1"/>
  <c r="C263" i="1"/>
  <c r="N262" i="1"/>
  <c r="L262" i="1" s="1"/>
  <c r="J262" i="1"/>
  <c r="H262" i="1" s="1"/>
  <c r="G261" i="1"/>
  <c r="E261" i="1" s="1"/>
  <c r="G260" i="1"/>
  <c r="E260" i="1" s="1"/>
  <c r="G259" i="1"/>
  <c r="E259" i="1" s="1"/>
  <c r="G258" i="1"/>
  <c r="E258" i="1" s="1"/>
  <c r="G257" i="1"/>
  <c r="E257" i="1" s="1"/>
  <c r="G256" i="1"/>
  <c r="E256" i="1" s="1"/>
  <c r="G255" i="1"/>
  <c r="E255" i="1" s="1"/>
  <c r="G254" i="1"/>
  <c r="S254" i="1" s="1"/>
  <c r="G253" i="1"/>
  <c r="S253" i="1" s="1"/>
  <c r="H254" i="1"/>
  <c r="L254" i="1"/>
  <c r="R254" i="1"/>
  <c r="H255" i="1"/>
  <c r="L255" i="1"/>
  <c r="R255" i="1"/>
  <c r="H256" i="1"/>
  <c r="L256" i="1"/>
  <c r="R256" i="1"/>
  <c r="H257" i="1"/>
  <c r="L257" i="1"/>
  <c r="R257" i="1"/>
  <c r="H258" i="1"/>
  <c r="L258" i="1"/>
  <c r="R258" i="1"/>
  <c r="H259" i="1"/>
  <c r="L259" i="1"/>
  <c r="R259" i="1"/>
  <c r="H260" i="1"/>
  <c r="L260" i="1"/>
  <c r="R260" i="1"/>
  <c r="H261" i="1"/>
  <c r="L261" i="1"/>
  <c r="R261" i="1"/>
  <c r="B261" i="1"/>
  <c r="B260" i="1"/>
  <c r="B259" i="1"/>
  <c r="B258" i="1"/>
  <c r="B257" i="1"/>
  <c r="B256" i="1"/>
  <c r="B255" i="1"/>
  <c r="B254" i="1"/>
  <c r="B253" i="1"/>
  <c r="O252" i="1"/>
  <c r="K252" i="1"/>
  <c r="C261" i="1"/>
  <c r="C260" i="1"/>
  <c r="C259" i="1"/>
  <c r="C258" i="1"/>
  <c r="C257" i="1"/>
  <c r="C256" i="1"/>
  <c r="C255" i="1"/>
  <c r="C254" i="1"/>
  <c r="C253" i="1"/>
  <c r="R253" i="1"/>
  <c r="L253" i="1"/>
  <c r="H253" i="1"/>
  <c r="N252" i="1"/>
  <c r="J252" i="1"/>
  <c r="F252" i="1"/>
  <c r="L267" i="1" l="1"/>
  <c r="G267" i="1"/>
  <c r="S267" i="1" s="1"/>
  <c r="E254" i="1"/>
  <c r="M254" i="1" s="1"/>
  <c r="S263" i="1"/>
  <c r="P263" i="1" s="1"/>
  <c r="G262" i="1"/>
  <c r="S262" i="1" s="1"/>
  <c r="I258" i="1"/>
  <c r="E253" i="1"/>
  <c r="I253" i="1" s="1"/>
  <c r="S258" i="1"/>
  <c r="P258" i="1" s="1"/>
  <c r="Q258" i="1" s="1"/>
  <c r="S257" i="1"/>
  <c r="P257" i="1" s="1"/>
  <c r="Q257" i="1" s="1"/>
  <c r="S260" i="1"/>
  <c r="P260" i="1" s="1"/>
  <c r="Q260" i="1" s="1"/>
  <c r="S259" i="1"/>
  <c r="P259" i="1" s="1"/>
  <c r="Q259" i="1" s="1"/>
  <c r="S269" i="1"/>
  <c r="P269" i="1" s="1"/>
  <c r="Q269" i="1" s="1"/>
  <c r="S268" i="1"/>
  <c r="P268" i="1" s="1"/>
  <c r="M272" i="1"/>
  <c r="M259" i="1"/>
  <c r="I259" i="1"/>
  <c r="S256" i="1"/>
  <c r="P256" i="1" s="1"/>
  <c r="Q256" i="1" s="1"/>
  <c r="S265" i="1"/>
  <c r="P265" i="1" s="1"/>
  <c r="Q265" i="1" s="1"/>
  <c r="S264" i="1"/>
  <c r="P264" i="1" s="1"/>
  <c r="Q264" i="1" s="1"/>
  <c r="M269" i="1"/>
  <c r="M257" i="1"/>
  <c r="I272" i="1"/>
  <c r="I257" i="1"/>
  <c r="M264" i="1"/>
  <c r="H252" i="1"/>
  <c r="I269" i="1"/>
  <c r="L271" i="1"/>
  <c r="L252" i="1"/>
  <c r="P272" i="1"/>
  <c r="Q272" i="1" s="1"/>
  <c r="S271" i="1"/>
  <c r="R271" i="1"/>
  <c r="H271" i="1"/>
  <c r="E271" i="1"/>
  <c r="R267" i="1"/>
  <c r="E268" i="1"/>
  <c r="I268" i="1" s="1"/>
  <c r="H267" i="1"/>
  <c r="M265" i="1"/>
  <c r="I265" i="1"/>
  <c r="I264" i="1"/>
  <c r="R262" i="1"/>
  <c r="E263" i="1"/>
  <c r="I263" i="1" s="1"/>
  <c r="M261" i="1"/>
  <c r="I261" i="1"/>
  <c r="S261" i="1"/>
  <c r="P261" i="1" s="1"/>
  <c r="Q261" i="1" s="1"/>
  <c r="I260" i="1"/>
  <c r="M260" i="1"/>
  <c r="M258" i="1"/>
  <c r="I256" i="1"/>
  <c r="M256" i="1"/>
  <c r="M255" i="1"/>
  <c r="S255" i="1"/>
  <c r="P255" i="1" s="1"/>
  <c r="Q255" i="1" s="1"/>
  <c r="I255" i="1"/>
  <c r="P254" i="1"/>
  <c r="G252" i="1"/>
  <c r="S252" i="1" s="1"/>
  <c r="P253" i="1"/>
  <c r="R252" i="1"/>
  <c r="Q254" i="1" l="1"/>
  <c r="I271" i="1"/>
  <c r="I254" i="1"/>
  <c r="M253" i="1"/>
  <c r="Q253" i="1"/>
  <c r="E267" i="1"/>
  <c r="I267" i="1" s="1"/>
  <c r="Q263" i="1"/>
  <c r="P271" i="1"/>
  <c r="Q271" i="1" s="1"/>
  <c r="Q268" i="1"/>
  <c r="P267" i="1"/>
  <c r="P262" i="1"/>
  <c r="M268" i="1"/>
  <c r="E262" i="1"/>
  <c r="I262" i="1" s="1"/>
  <c r="M263" i="1"/>
  <c r="E252" i="1"/>
  <c r="I252" i="1" s="1"/>
  <c r="P252" i="1"/>
  <c r="Q267" i="1" l="1"/>
  <c r="Q252" i="1"/>
  <c r="Q262" i="1"/>
  <c r="G186" i="1"/>
  <c r="S186" i="1" s="1"/>
  <c r="G185" i="1"/>
  <c r="B186" i="1"/>
  <c r="B185" i="1"/>
  <c r="C186" i="1"/>
  <c r="C185" i="1"/>
  <c r="H186" i="1"/>
  <c r="L186" i="1"/>
  <c r="R186" i="1"/>
  <c r="R185" i="1"/>
  <c r="L185" i="1"/>
  <c r="H185" i="1"/>
  <c r="N184" i="1"/>
  <c r="J184" i="1"/>
  <c r="G184" i="1" l="1"/>
  <c r="S184" i="1" s="1"/>
  <c r="E186" i="1"/>
  <c r="I186" i="1" s="1"/>
  <c r="P186" i="1"/>
  <c r="E185" i="1"/>
  <c r="M185" i="1" s="1"/>
  <c r="H184" i="1"/>
  <c r="L184" i="1"/>
  <c r="S185" i="1"/>
  <c r="P185" i="1" s="1"/>
  <c r="C251" i="1"/>
  <c r="R251" i="1"/>
  <c r="L251" i="1"/>
  <c r="H251" i="1"/>
  <c r="O250" i="1"/>
  <c r="K250" i="1"/>
  <c r="F250" i="1"/>
  <c r="N250" i="1"/>
  <c r="M186" i="1" l="1"/>
  <c r="Q186" i="1"/>
  <c r="H250" i="1"/>
  <c r="L250" i="1"/>
  <c r="E184" i="1"/>
  <c r="I184" i="1" s="1"/>
  <c r="Q185" i="1"/>
  <c r="I185" i="1"/>
  <c r="R250" i="1"/>
  <c r="B249" i="1"/>
  <c r="B248" i="1"/>
  <c r="B247" i="1"/>
  <c r="B246" i="1"/>
  <c r="G249" i="1"/>
  <c r="E249" i="1" s="1"/>
  <c r="G247" i="1"/>
  <c r="E247" i="1" s="1"/>
  <c r="G246" i="1"/>
  <c r="S246" i="1" s="1"/>
  <c r="O245" i="1"/>
  <c r="K245" i="1"/>
  <c r="F245" i="1"/>
  <c r="H247" i="1"/>
  <c r="L247" i="1"/>
  <c r="R247" i="1"/>
  <c r="H248" i="1"/>
  <c r="L248" i="1"/>
  <c r="R248" i="1"/>
  <c r="H249" i="1"/>
  <c r="L249" i="1"/>
  <c r="R249" i="1"/>
  <c r="R246" i="1"/>
  <c r="L246" i="1"/>
  <c r="H246" i="1"/>
  <c r="C247" i="1"/>
  <c r="C248" i="1"/>
  <c r="C249" i="1"/>
  <c r="C246" i="1"/>
  <c r="I249" i="1" l="1"/>
  <c r="S249" i="1"/>
  <c r="P249" i="1" s="1"/>
  <c r="Q249" i="1" s="1"/>
  <c r="M249" i="1"/>
  <c r="M247" i="1"/>
  <c r="I247" i="1"/>
  <c r="S247" i="1"/>
  <c r="P247" i="1" s="1"/>
  <c r="Q247" i="1" s="1"/>
  <c r="E246" i="1"/>
  <c r="I246" i="1" s="1"/>
  <c r="P246" i="1"/>
  <c r="B228" i="1"/>
  <c r="O227" i="1"/>
  <c r="K227" i="1"/>
  <c r="K226" i="1" s="1"/>
  <c r="F227" i="1"/>
  <c r="G236" i="1"/>
  <c r="E236" i="1" s="1"/>
  <c r="G235" i="1"/>
  <c r="B236" i="1"/>
  <c r="B235" i="1"/>
  <c r="C236" i="1"/>
  <c r="C235" i="1"/>
  <c r="H236" i="1"/>
  <c r="L236" i="1"/>
  <c r="R236" i="1"/>
  <c r="R235" i="1"/>
  <c r="R234" i="1" s="1"/>
  <c r="L235" i="1"/>
  <c r="H235" i="1"/>
  <c r="F234" i="1"/>
  <c r="G234" i="1" l="1"/>
  <c r="E235" i="1"/>
  <c r="I235" i="1" s="1"/>
  <c r="O226" i="1"/>
  <c r="F226" i="1"/>
  <c r="Q246" i="1"/>
  <c r="M246" i="1"/>
  <c r="I236" i="1"/>
  <c r="M236" i="1"/>
  <c r="S236" i="1"/>
  <c r="P236" i="1" s="1"/>
  <c r="Q236" i="1" s="1"/>
  <c r="S235" i="1"/>
  <c r="P235" i="1" s="1"/>
  <c r="M235" i="1"/>
  <c r="G178" i="1"/>
  <c r="E178" i="1" s="1"/>
  <c r="G177" i="1"/>
  <c r="E177" i="1" s="1"/>
  <c r="C178" i="1"/>
  <c r="C177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G176" i="1"/>
  <c r="E176" i="1" s="1"/>
  <c r="G175" i="1"/>
  <c r="E175" i="1" s="1"/>
  <c r="G174" i="1"/>
  <c r="E174" i="1" s="1"/>
  <c r="G173" i="1"/>
  <c r="E173" i="1" s="1"/>
  <c r="G172" i="1"/>
  <c r="E172" i="1" s="1"/>
  <c r="G171" i="1"/>
  <c r="E171" i="1" s="1"/>
  <c r="G170" i="1"/>
  <c r="E170" i="1" s="1"/>
  <c r="G169" i="1"/>
  <c r="E169" i="1" s="1"/>
  <c r="G168" i="1"/>
  <c r="E168" i="1" s="1"/>
  <c r="G167" i="1"/>
  <c r="E167" i="1" s="1"/>
  <c r="G166" i="1"/>
  <c r="E166" i="1" s="1"/>
  <c r="G165" i="1"/>
  <c r="E165" i="1" s="1"/>
  <c r="G164" i="1"/>
  <c r="E164" i="1" s="1"/>
  <c r="G163" i="1"/>
  <c r="E163" i="1" s="1"/>
  <c r="G162" i="1"/>
  <c r="S162" i="1" s="1"/>
  <c r="G161" i="1"/>
  <c r="S161" i="1" s="1"/>
  <c r="G160" i="1"/>
  <c r="E160" i="1" s="1"/>
  <c r="G159" i="1"/>
  <c r="E159" i="1" s="1"/>
  <c r="G158" i="1"/>
  <c r="E158" i="1" s="1"/>
  <c r="G157" i="1"/>
  <c r="E157" i="1" s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G156" i="1"/>
  <c r="E156" i="1" s="1"/>
  <c r="G155" i="1"/>
  <c r="E155" i="1" s="1"/>
  <c r="G154" i="1"/>
  <c r="E154" i="1" s="1"/>
  <c r="G153" i="1"/>
  <c r="E153" i="1" s="1"/>
  <c r="G152" i="1"/>
  <c r="E152" i="1" s="1"/>
  <c r="G151" i="1"/>
  <c r="E151" i="1" s="1"/>
  <c r="G150" i="1"/>
  <c r="S150" i="1" s="1"/>
  <c r="G149" i="1"/>
  <c r="E149" i="1" s="1"/>
  <c r="G148" i="1"/>
  <c r="E148" i="1" s="1"/>
  <c r="G147" i="1"/>
  <c r="E147" i="1" s="1"/>
  <c r="G146" i="1"/>
  <c r="E146" i="1" s="1"/>
  <c r="G145" i="1"/>
  <c r="E145" i="1" s="1"/>
  <c r="G144" i="1"/>
  <c r="E144" i="1" s="1"/>
  <c r="G143" i="1"/>
  <c r="E143" i="1" s="1"/>
  <c r="G142" i="1"/>
  <c r="S142" i="1" s="1"/>
  <c r="G141" i="1"/>
  <c r="E141" i="1" s="1"/>
  <c r="G140" i="1"/>
  <c r="E140" i="1" s="1"/>
  <c r="G139" i="1"/>
  <c r="E139" i="1" s="1"/>
  <c r="G138" i="1"/>
  <c r="S138" i="1" s="1"/>
  <c r="G137" i="1"/>
  <c r="E137" i="1" s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H138" i="1"/>
  <c r="L138" i="1"/>
  <c r="R138" i="1"/>
  <c r="H139" i="1"/>
  <c r="L139" i="1"/>
  <c r="R139" i="1"/>
  <c r="H140" i="1"/>
  <c r="L140" i="1"/>
  <c r="R140" i="1"/>
  <c r="H141" i="1"/>
  <c r="L141" i="1"/>
  <c r="R141" i="1"/>
  <c r="H142" i="1"/>
  <c r="L142" i="1"/>
  <c r="R142" i="1"/>
  <c r="H143" i="1"/>
  <c r="L143" i="1"/>
  <c r="R143" i="1"/>
  <c r="H144" i="1"/>
  <c r="L144" i="1"/>
  <c r="R144" i="1"/>
  <c r="H145" i="1"/>
  <c r="L145" i="1"/>
  <c r="R145" i="1"/>
  <c r="H146" i="1"/>
  <c r="L146" i="1"/>
  <c r="R146" i="1"/>
  <c r="H147" i="1"/>
  <c r="L147" i="1"/>
  <c r="R147" i="1"/>
  <c r="H148" i="1"/>
  <c r="L148" i="1"/>
  <c r="R148" i="1"/>
  <c r="H149" i="1"/>
  <c r="L149" i="1"/>
  <c r="R149" i="1"/>
  <c r="H150" i="1"/>
  <c r="L150" i="1"/>
  <c r="R150" i="1"/>
  <c r="H151" i="1"/>
  <c r="L151" i="1"/>
  <c r="R151" i="1"/>
  <c r="H152" i="1"/>
  <c r="L152" i="1"/>
  <c r="R152" i="1"/>
  <c r="H153" i="1"/>
  <c r="L153" i="1"/>
  <c r="R153" i="1"/>
  <c r="H154" i="1"/>
  <c r="L154" i="1"/>
  <c r="R154" i="1"/>
  <c r="H155" i="1"/>
  <c r="L155" i="1"/>
  <c r="R155" i="1"/>
  <c r="H156" i="1"/>
  <c r="L156" i="1"/>
  <c r="R156" i="1"/>
  <c r="H157" i="1"/>
  <c r="L157" i="1"/>
  <c r="R157" i="1"/>
  <c r="H158" i="1"/>
  <c r="L158" i="1"/>
  <c r="R158" i="1"/>
  <c r="H159" i="1"/>
  <c r="L159" i="1"/>
  <c r="R159" i="1"/>
  <c r="H160" i="1"/>
  <c r="L160" i="1"/>
  <c r="R160" i="1"/>
  <c r="H161" i="1"/>
  <c r="L161" i="1"/>
  <c r="R161" i="1"/>
  <c r="H162" i="1"/>
  <c r="L162" i="1"/>
  <c r="R162" i="1"/>
  <c r="H163" i="1"/>
  <c r="L163" i="1"/>
  <c r="R163" i="1"/>
  <c r="H164" i="1"/>
  <c r="L164" i="1"/>
  <c r="R164" i="1"/>
  <c r="H165" i="1"/>
  <c r="L165" i="1"/>
  <c r="R165" i="1"/>
  <c r="H166" i="1"/>
  <c r="L166" i="1"/>
  <c r="R166" i="1"/>
  <c r="H167" i="1"/>
  <c r="L167" i="1"/>
  <c r="R167" i="1"/>
  <c r="H168" i="1"/>
  <c r="L168" i="1"/>
  <c r="R168" i="1"/>
  <c r="H169" i="1"/>
  <c r="L169" i="1"/>
  <c r="R169" i="1"/>
  <c r="H170" i="1"/>
  <c r="L170" i="1"/>
  <c r="R170" i="1"/>
  <c r="H171" i="1"/>
  <c r="L171" i="1"/>
  <c r="R171" i="1"/>
  <c r="H172" i="1"/>
  <c r="L172" i="1"/>
  <c r="R172" i="1"/>
  <c r="H173" i="1"/>
  <c r="L173" i="1"/>
  <c r="R173" i="1"/>
  <c r="H174" i="1"/>
  <c r="L174" i="1"/>
  <c r="R174" i="1"/>
  <c r="H175" i="1"/>
  <c r="L175" i="1"/>
  <c r="R175" i="1"/>
  <c r="H176" i="1"/>
  <c r="L176" i="1"/>
  <c r="R176" i="1"/>
  <c r="H177" i="1"/>
  <c r="L177" i="1"/>
  <c r="R177" i="1"/>
  <c r="H178" i="1"/>
  <c r="L178" i="1"/>
  <c r="R178" i="1"/>
  <c r="H137" i="1"/>
  <c r="L137" i="1"/>
  <c r="R137" i="1"/>
  <c r="G124" i="1"/>
  <c r="S124" i="1" s="1"/>
  <c r="G123" i="1"/>
  <c r="S123" i="1" s="1"/>
  <c r="G122" i="1"/>
  <c r="S122" i="1" s="1"/>
  <c r="G121" i="1"/>
  <c r="E121" i="1" s="1"/>
  <c r="G120" i="1"/>
  <c r="E120" i="1" s="1"/>
  <c r="G119" i="1"/>
  <c r="E119" i="1" s="1"/>
  <c r="G118" i="1"/>
  <c r="E118" i="1" s="1"/>
  <c r="G117" i="1"/>
  <c r="E117" i="1" s="1"/>
  <c r="G116" i="1"/>
  <c r="E116" i="1" s="1"/>
  <c r="G115" i="1"/>
  <c r="E115" i="1" s="1"/>
  <c r="G114" i="1"/>
  <c r="E114" i="1" s="1"/>
  <c r="G113" i="1"/>
  <c r="S113" i="1" s="1"/>
  <c r="G112" i="1"/>
  <c r="E112" i="1" s="1"/>
  <c r="G111" i="1"/>
  <c r="E111" i="1" s="1"/>
  <c r="G110" i="1"/>
  <c r="E110" i="1" s="1"/>
  <c r="G109" i="1"/>
  <c r="E109" i="1" s="1"/>
  <c r="G108" i="1"/>
  <c r="E108" i="1" s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C124" i="1"/>
  <c r="C123" i="1"/>
  <c r="C122" i="1"/>
  <c r="C121" i="1"/>
  <c r="C120" i="1"/>
  <c r="C119" i="1"/>
  <c r="C118" i="1"/>
  <c r="C117" i="1"/>
  <c r="C116" i="1"/>
  <c r="H116" i="1"/>
  <c r="L116" i="1"/>
  <c r="R116" i="1"/>
  <c r="H117" i="1"/>
  <c r="L117" i="1"/>
  <c r="R117" i="1"/>
  <c r="H118" i="1"/>
  <c r="L118" i="1"/>
  <c r="R118" i="1"/>
  <c r="H119" i="1"/>
  <c r="L119" i="1"/>
  <c r="R119" i="1"/>
  <c r="H120" i="1"/>
  <c r="L120" i="1"/>
  <c r="R120" i="1"/>
  <c r="H121" i="1"/>
  <c r="L121" i="1"/>
  <c r="R121" i="1"/>
  <c r="H122" i="1"/>
  <c r="L122" i="1"/>
  <c r="R122" i="1"/>
  <c r="H123" i="1"/>
  <c r="L123" i="1"/>
  <c r="R123" i="1"/>
  <c r="H124" i="1"/>
  <c r="L124" i="1"/>
  <c r="R124" i="1"/>
  <c r="C115" i="1"/>
  <c r="C114" i="1"/>
  <c r="C113" i="1"/>
  <c r="C112" i="1"/>
  <c r="C111" i="1"/>
  <c r="C110" i="1"/>
  <c r="C109" i="1"/>
  <c r="C108" i="1"/>
  <c r="H108" i="1"/>
  <c r="L108" i="1"/>
  <c r="R108" i="1"/>
  <c r="H109" i="1"/>
  <c r="L109" i="1"/>
  <c r="R109" i="1"/>
  <c r="H110" i="1"/>
  <c r="L110" i="1"/>
  <c r="R110" i="1"/>
  <c r="H111" i="1"/>
  <c r="L111" i="1"/>
  <c r="R111" i="1"/>
  <c r="H112" i="1"/>
  <c r="L112" i="1"/>
  <c r="R112" i="1"/>
  <c r="H113" i="1"/>
  <c r="L113" i="1"/>
  <c r="R113" i="1"/>
  <c r="H114" i="1"/>
  <c r="L114" i="1"/>
  <c r="R114" i="1"/>
  <c r="H115" i="1"/>
  <c r="L115" i="1"/>
  <c r="R115" i="1"/>
  <c r="G98" i="1"/>
  <c r="E98" i="1" s="1"/>
  <c r="G97" i="1"/>
  <c r="E97" i="1" s="1"/>
  <c r="G96" i="1"/>
  <c r="E96" i="1" s="1"/>
  <c r="H96" i="1"/>
  <c r="L96" i="1"/>
  <c r="R96" i="1"/>
  <c r="H97" i="1"/>
  <c r="L97" i="1"/>
  <c r="R97" i="1"/>
  <c r="H98" i="1"/>
  <c r="L98" i="1"/>
  <c r="R98" i="1"/>
  <c r="B98" i="1"/>
  <c r="B97" i="1"/>
  <c r="B96" i="1"/>
  <c r="C98" i="1"/>
  <c r="C97" i="1"/>
  <c r="C96" i="1"/>
  <c r="G61" i="1"/>
  <c r="G60" i="1"/>
  <c r="G59" i="1"/>
  <c r="B61" i="1"/>
  <c r="B60" i="1"/>
  <c r="B59" i="1"/>
  <c r="C61" i="1"/>
  <c r="C60" i="1"/>
  <c r="C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S234" i="1" l="1"/>
  <c r="E161" i="1"/>
  <c r="Q235" i="1"/>
  <c r="S177" i="1"/>
  <c r="P177" i="1" s="1"/>
  <c r="Q177" i="1" s="1"/>
  <c r="S157" i="1"/>
  <c r="P157" i="1" s="1"/>
  <c r="Q157" i="1" s="1"/>
  <c r="S137" i="1"/>
  <c r="M146" i="1"/>
  <c r="I170" i="1"/>
  <c r="S171" i="1"/>
  <c r="P171" i="1" s="1"/>
  <c r="Q171" i="1" s="1"/>
  <c r="S115" i="1"/>
  <c r="P115" i="1" s="1"/>
  <c r="Q115" i="1" s="1"/>
  <c r="S163" i="1"/>
  <c r="P163" i="1" s="1"/>
  <c r="Q163" i="1" s="1"/>
  <c r="E162" i="1"/>
  <c r="I162" i="1" s="1"/>
  <c r="S178" i="1"/>
  <c r="P178" i="1" s="1"/>
  <c r="Q178" i="1" s="1"/>
  <c r="S117" i="1"/>
  <c r="P117" i="1" s="1"/>
  <c r="Q117" i="1" s="1"/>
  <c r="S176" i="1"/>
  <c r="P176" i="1" s="1"/>
  <c r="Q176" i="1" s="1"/>
  <c r="S174" i="1"/>
  <c r="P174" i="1" s="1"/>
  <c r="Q174" i="1" s="1"/>
  <c r="S172" i="1"/>
  <c r="P172" i="1" s="1"/>
  <c r="Q172" i="1" s="1"/>
  <c r="S164" i="1"/>
  <c r="P164" i="1" s="1"/>
  <c r="Q164" i="1" s="1"/>
  <c r="S155" i="1"/>
  <c r="P155" i="1" s="1"/>
  <c r="Q155" i="1" s="1"/>
  <c r="I154" i="1"/>
  <c r="M158" i="1"/>
  <c r="I156" i="1"/>
  <c r="I160" i="1"/>
  <c r="I168" i="1"/>
  <c r="S146" i="1"/>
  <c r="P146" i="1" s="1"/>
  <c r="Q146" i="1" s="1"/>
  <c r="M178" i="1"/>
  <c r="S170" i="1"/>
  <c r="P170" i="1" s="1"/>
  <c r="Q170" i="1" s="1"/>
  <c r="S168" i="1"/>
  <c r="S166" i="1"/>
  <c r="P166" i="1" s="1"/>
  <c r="Q166" i="1" s="1"/>
  <c r="S165" i="1"/>
  <c r="P165" i="1" s="1"/>
  <c r="Q165" i="1" s="1"/>
  <c r="S160" i="1"/>
  <c r="P160" i="1" s="1"/>
  <c r="Q160" i="1" s="1"/>
  <c r="S158" i="1"/>
  <c r="P158" i="1" s="1"/>
  <c r="Q158" i="1" s="1"/>
  <c r="I144" i="1"/>
  <c r="I148" i="1"/>
  <c r="I152" i="1"/>
  <c r="M137" i="1"/>
  <c r="P142" i="1"/>
  <c r="P150" i="1"/>
  <c r="P162" i="1"/>
  <c r="S175" i="1"/>
  <c r="P175" i="1" s="1"/>
  <c r="Q175" i="1" s="1"/>
  <c r="S167" i="1"/>
  <c r="P167" i="1" s="1"/>
  <c r="Q167" i="1" s="1"/>
  <c r="M170" i="1"/>
  <c r="S140" i="1"/>
  <c r="P140" i="1" s="1"/>
  <c r="Q140" i="1" s="1"/>
  <c r="S173" i="1"/>
  <c r="P173" i="1" s="1"/>
  <c r="Q173" i="1" s="1"/>
  <c r="S169" i="1"/>
  <c r="P169" i="1" s="1"/>
  <c r="Q169" i="1" s="1"/>
  <c r="S159" i="1"/>
  <c r="P159" i="1" s="1"/>
  <c r="Q159" i="1" s="1"/>
  <c r="S151" i="1"/>
  <c r="P151" i="1" s="1"/>
  <c r="Q151" i="1" s="1"/>
  <c r="E150" i="1"/>
  <c r="I150" i="1" s="1"/>
  <c r="S145" i="1"/>
  <c r="P145" i="1" s="1"/>
  <c r="Q145" i="1" s="1"/>
  <c r="S143" i="1"/>
  <c r="P143" i="1" s="1"/>
  <c r="Q143" i="1" s="1"/>
  <c r="E142" i="1"/>
  <c r="I142" i="1" s="1"/>
  <c r="S139" i="1"/>
  <c r="P139" i="1" s="1"/>
  <c r="Q139" i="1" s="1"/>
  <c r="E138" i="1"/>
  <c r="M138" i="1" s="1"/>
  <c r="M174" i="1"/>
  <c r="I174" i="1"/>
  <c r="M169" i="1"/>
  <c r="S149" i="1"/>
  <c r="P149" i="1" s="1"/>
  <c r="Q149" i="1" s="1"/>
  <c r="S147" i="1"/>
  <c r="P147" i="1" s="1"/>
  <c r="Q147" i="1" s="1"/>
  <c r="E234" i="1"/>
  <c r="I169" i="1"/>
  <c r="S154" i="1"/>
  <c r="P154" i="1" s="1"/>
  <c r="Q154" i="1" s="1"/>
  <c r="S148" i="1"/>
  <c r="P148" i="1" s="1"/>
  <c r="Q148" i="1" s="1"/>
  <c r="M154" i="1"/>
  <c r="S111" i="1"/>
  <c r="P111" i="1" s="1"/>
  <c r="Q111" i="1" s="1"/>
  <c r="E123" i="1"/>
  <c r="M123" i="1" s="1"/>
  <c r="S152" i="1"/>
  <c r="P152" i="1" s="1"/>
  <c r="Q152" i="1" s="1"/>
  <c r="I151" i="1"/>
  <c r="M162" i="1"/>
  <c r="I140" i="1"/>
  <c r="M140" i="1"/>
  <c r="I166" i="1"/>
  <c r="M166" i="1"/>
  <c r="M108" i="1"/>
  <c r="I109" i="1"/>
  <c r="I178" i="1"/>
  <c r="I172" i="1"/>
  <c r="S156" i="1"/>
  <c r="P156" i="1" s="1"/>
  <c r="Q156" i="1" s="1"/>
  <c r="S153" i="1"/>
  <c r="P153" i="1" s="1"/>
  <c r="Q153" i="1" s="1"/>
  <c r="M151" i="1"/>
  <c r="S144" i="1"/>
  <c r="P144" i="1" s="1"/>
  <c r="Q144" i="1" s="1"/>
  <c r="S141" i="1"/>
  <c r="P141" i="1" s="1"/>
  <c r="Q141" i="1" s="1"/>
  <c r="P137" i="1"/>
  <c r="Q137" i="1" s="1"/>
  <c r="I176" i="1"/>
  <c r="P168" i="1"/>
  <c r="Q168" i="1" s="1"/>
  <c r="I164" i="1"/>
  <c r="I158" i="1"/>
  <c r="M153" i="1"/>
  <c r="I146" i="1"/>
  <c r="M141" i="1"/>
  <c r="I97" i="1"/>
  <c r="M112" i="1"/>
  <c r="M120" i="1"/>
  <c r="I153" i="1"/>
  <c r="I141" i="1"/>
  <c r="M177" i="1"/>
  <c r="I177" i="1"/>
  <c r="M176" i="1"/>
  <c r="M175" i="1"/>
  <c r="I175" i="1"/>
  <c r="M173" i="1"/>
  <c r="I173" i="1"/>
  <c r="M172" i="1"/>
  <c r="M171" i="1"/>
  <c r="I171" i="1"/>
  <c r="M168" i="1"/>
  <c r="M167" i="1"/>
  <c r="I167" i="1"/>
  <c r="M165" i="1"/>
  <c r="I165" i="1"/>
  <c r="M164" i="1"/>
  <c r="M163" i="1"/>
  <c r="I163" i="1"/>
  <c r="I161" i="1"/>
  <c r="P161" i="1"/>
  <c r="Q161" i="1" s="1"/>
  <c r="M161" i="1"/>
  <c r="M160" i="1"/>
  <c r="I159" i="1"/>
  <c r="M159" i="1"/>
  <c r="M157" i="1"/>
  <c r="I157" i="1"/>
  <c r="M156" i="1"/>
  <c r="M155" i="1"/>
  <c r="I155" i="1"/>
  <c r="M152" i="1"/>
  <c r="I149" i="1"/>
  <c r="M149" i="1"/>
  <c r="M148" i="1"/>
  <c r="I147" i="1"/>
  <c r="M147" i="1"/>
  <c r="M145" i="1"/>
  <c r="I145" i="1"/>
  <c r="M144" i="1"/>
  <c r="M143" i="1"/>
  <c r="I143" i="1"/>
  <c r="M139" i="1"/>
  <c r="I139" i="1"/>
  <c r="P138" i="1"/>
  <c r="I137" i="1"/>
  <c r="E122" i="1"/>
  <c r="I122" i="1" s="1"/>
  <c r="S116" i="1"/>
  <c r="P116" i="1" s="1"/>
  <c r="Q116" i="1" s="1"/>
  <c r="S114" i="1"/>
  <c r="P114" i="1" s="1"/>
  <c r="Q114" i="1" s="1"/>
  <c r="S110" i="1"/>
  <c r="P110" i="1" s="1"/>
  <c r="Q110" i="1" s="1"/>
  <c r="E113" i="1"/>
  <c r="I113" i="1" s="1"/>
  <c r="S109" i="1"/>
  <c r="P109" i="1" s="1"/>
  <c r="Q109" i="1" s="1"/>
  <c r="S112" i="1"/>
  <c r="P112" i="1" s="1"/>
  <c r="Q112" i="1" s="1"/>
  <c r="S108" i="1"/>
  <c r="P108" i="1" s="1"/>
  <c r="Q108" i="1" s="1"/>
  <c r="S121" i="1"/>
  <c r="P121" i="1" s="1"/>
  <c r="Q121" i="1" s="1"/>
  <c r="S120" i="1"/>
  <c r="P120" i="1" s="1"/>
  <c r="Q120" i="1" s="1"/>
  <c r="M96" i="1"/>
  <c r="I117" i="1"/>
  <c r="I115" i="1"/>
  <c r="I111" i="1"/>
  <c r="P123" i="1"/>
  <c r="I118" i="1"/>
  <c r="M98" i="1"/>
  <c r="M114" i="1"/>
  <c r="M110" i="1"/>
  <c r="M116" i="1"/>
  <c r="P124" i="1"/>
  <c r="E124" i="1"/>
  <c r="M124" i="1" s="1"/>
  <c r="P122" i="1"/>
  <c r="I121" i="1"/>
  <c r="M121" i="1"/>
  <c r="I120" i="1"/>
  <c r="I119" i="1"/>
  <c r="M119" i="1"/>
  <c r="S119" i="1"/>
  <c r="P119" i="1" s="1"/>
  <c r="Q119" i="1" s="1"/>
  <c r="S118" i="1"/>
  <c r="P118" i="1" s="1"/>
  <c r="Q118" i="1" s="1"/>
  <c r="M118" i="1"/>
  <c r="M117" i="1"/>
  <c r="I116" i="1"/>
  <c r="I114" i="1"/>
  <c r="P113" i="1"/>
  <c r="I108" i="1"/>
  <c r="S98" i="1"/>
  <c r="P98" i="1" s="1"/>
  <c r="Q98" i="1" s="1"/>
  <c r="S97" i="1"/>
  <c r="P97" i="1" s="1"/>
  <c r="Q97" i="1" s="1"/>
  <c r="S96" i="1"/>
  <c r="P96" i="1" s="1"/>
  <c r="Q96" i="1" s="1"/>
  <c r="M115" i="1"/>
  <c r="I112" i="1"/>
  <c r="M111" i="1"/>
  <c r="I110" i="1"/>
  <c r="M109" i="1"/>
  <c r="M97" i="1"/>
  <c r="I98" i="1"/>
  <c r="I96" i="1"/>
  <c r="G58" i="1"/>
  <c r="E58" i="1" s="1"/>
  <c r="G57" i="1"/>
  <c r="E57" i="1" s="1"/>
  <c r="G56" i="1"/>
  <c r="E56" i="1" s="1"/>
  <c r="G55" i="1"/>
  <c r="E55" i="1" s="1"/>
  <c r="G54" i="1"/>
  <c r="E54" i="1" s="1"/>
  <c r="G53" i="1"/>
  <c r="E53" i="1" s="1"/>
  <c r="G52" i="1"/>
  <c r="E52" i="1" s="1"/>
  <c r="G51" i="1"/>
  <c r="E51" i="1" s="1"/>
  <c r="G50" i="1"/>
  <c r="G49" i="1"/>
  <c r="E49" i="1" s="1"/>
  <c r="G48" i="1"/>
  <c r="E48" i="1" s="1"/>
  <c r="G47" i="1"/>
  <c r="E47" i="1" s="1"/>
  <c r="G46" i="1"/>
  <c r="E46" i="1" s="1"/>
  <c r="G45" i="1"/>
  <c r="E45" i="1" s="1"/>
  <c r="G44" i="1"/>
  <c r="E44" i="1" s="1"/>
  <c r="G43" i="1"/>
  <c r="E43" i="1" s="1"/>
  <c r="G42" i="1"/>
  <c r="E42" i="1" s="1"/>
  <c r="G41" i="1"/>
  <c r="E41" i="1" s="1"/>
  <c r="G40" i="1"/>
  <c r="E40" i="1" s="1"/>
  <c r="G39" i="1"/>
  <c r="E39" i="1" s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E50" i="1"/>
  <c r="H50" i="1"/>
  <c r="L50" i="1"/>
  <c r="R50" i="1"/>
  <c r="S50" i="1"/>
  <c r="H51" i="1"/>
  <c r="L51" i="1"/>
  <c r="R51" i="1"/>
  <c r="H52" i="1"/>
  <c r="L52" i="1"/>
  <c r="R52" i="1"/>
  <c r="H53" i="1"/>
  <c r="L53" i="1"/>
  <c r="R53" i="1"/>
  <c r="H54" i="1"/>
  <c r="L54" i="1"/>
  <c r="R54" i="1"/>
  <c r="H55" i="1"/>
  <c r="L55" i="1"/>
  <c r="R55" i="1"/>
  <c r="H56" i="1"/>
  <c r="L56" i="1"/>
  <c r="R56" i="1"/>
  <c r="H57" i="1"/>
  <c r="L57" i="1"/>
  <c r="R57" i="1"/>
  <c r="H58" i="1"/>
  <c r="L58" i="1"/>
  <c r="R58" i="1"/>
  <c r="E59" i="1"/>
  <c r="H59" i="1"/>
  <c r="L59" i="1"/>
  <c r="R59" i="1"/>
  <c r="S59" i="1"/>
  <c r="E60" i="1"/>
  <c r="H60" i="1"/>
  <c r="L60" i="1"/>
  <c r="R60" i="1"/>
  <c r="S60" i="1"/>
  <c r="E61" i="1"/>
  <c r="H61" i="1"/>
  <c r="L61" i="1"/>
  <c r="R61" i="1"/>
  <c r="S61" i="1"/>
  <c r="G38" i="1"/>
  <c r="E38" i="1" s="1"/>
  <c r="G37" i="1"/>
  <c r="E37" i="1" s="1"/>
  <c r="G36" i="1"/>
  <c r="E36" i="1" s="1"/>
  <c r="G35" i="1"/>
  <c r="E35" i="1" s="1"/>
  <c r="G34" i="1"/>
  <c r="E34" i="1" s="1"/>
  <c r="G33" i="1"/>
  <c r="E33" i="1" s="1"/>
  <c r="G32" i="1"/>
  <c r="E32" i="1" s="1"/>
  <c r="G31" i="1"/>
  <c r="E31" i="1" s="1"/>
  <c r="G30" i="1"/>
  <c r="E30" i="1" s="1"/>
  <c r="G29" i="1"/>
  <c r="E29" i="1" s="1"/>
  <c r="G28" i="1"/>
  <c r="S28" i="1" s="1"/>
  <c r="G27" i="1"/>
  <c r="E27" i="1" s="1"/>
  <c r="G26" i="1"/>
  <c r="E26" i="1" s="1"/>
  <c r="G25" i="1"/>
  <c r="E25" i="1" s="1"/>
  <c r="G24" i="1"/>
  <c r="E24" i="1" s="1"/>
  <c r="G23" i="1"/>
  <c r="E23" i="1" s="1"/>
  <c r="G22" i="1"/>
  <c r="E22" i="1" s="1"/>
  <c r="G21" i="1"/>
  <c r="E21" i="1" s="1"/>
  <c r="G20" i="1"/>
  <c r="E20" i="1" s="1"/>
  <c r="G19" i="1"/>
  <c r="E19" i="1" s="1"/>
  <c r="B38" i="1"/>
  <c r="B37" i="1"/>
  <c r="B36" i="1"/>
  <c r="B35" i="1"/>
  <c r="B34" i="1"/>
  <c r="B33" i="1"/>
  <c r="B32" i="1"/>
  <c r="B31" i="1"/>
  <c r="B30" i="1"/>
  <c r="B28" i="1"/>
  <c r="B27" i="1"/>
  <c r="B26" i="1"/>
  <c r="B25" i="1"/>
  <c r="B24" i="1"/>
  <c r="B23" i="1"/>
  <c r="B22" i="1"/>
  <c r="B21" i="1"/>
  <c r="B2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H20" i="1"/>
  <c r="L20" i="1"/>
  <c r="R20" i="1"/>
  <c r="H21" i="1"/>
  <c r="L21" i="1"/>
  <c r="R21" i="1"/>
  <c r="H22" i="1"/>
  <c r="L22" i="1"/>
  <c r="R22" i="1"/>
  <c r="H23" i="1"/>
  <c r="L23" i="1"/>
  <c r="R23" i="1"/>
  <c r="H24" i="1"/>
  <c r="L24" i="1"/>
  <c r="R24" i="1"/>
  <c r="H25" i="1"/>
  <c r="L25" i="1"/>
  <c r="R25" i="1"/>
  <c r="H26" i="1"/>
  <c r="L26" i="1"/>
  <c r="R26" i="1"/>
  <c r="H27" i="1"/>
  <c r="L27" i="1"/>
  <c r="R27" i="1"/>
  <c r="H28" i="1"/>
  <c r="L28" i="1"/>
  <c r="R28" i="1"/>
  <c r="H29" i="1"/>
  <c r="L29" i="1"/>
  <c r="R29" i="1"/>
  <c r="H30" i="1"/>
  <c r="L30" i="1"/>
  <c r="R30" i="1"/>
  <c r="H31" i="1"/>
  <c r="L31" i="1"/>
  <c r="R31" i="1"/>
  <c r="H32" i="1"/>
  <c r="L32" i="1"/>
  <c r="R32" i="1"/>
  <c r="H33" i="1"/>
  <c r="L33" i="1"/>
  <c r="R33" i="1"/>
  <c r="H34" i="1"/>
  <c r="L34" i="1"/>
  <c r="R34" i="1"/>
  <c r="H35" i="1"/>
  <c r="L35" i="1"/>
  <c r="R35" i="1"/>
  <c r="H36" i="1"/>
  <c r="L36" i="1"/>
  <c r="R36" i="1"/>
  <c r="H37" i="1"/>
  <c r="L37" i="1"/>
  <c r="R37" i="1"/>
  <c r="H38" i="1"/>
  <c r="L38" i="1"/>
  <c r="R38" i="1"/>
  <c r="H39" i="1"/>
  <c r="L39" i="1"/>
  <c r="R39" i="1"/>
  <c r="H40" i="1"/>
  <c r="L40" i="1"/>
  <c r="R40" i="1"/>
  <c r="H41" i="1"/>
  <c r="L41" i="1"/>
  <c r="R41" i="1"/>
  <c r="H42" i="1"/>
  <c r="L42" i="1"/>
  <c r="R42" i="1"/>
  <c r="H43" i="1"/>
  <c r="L43" i="1"/>
  <c r="R43" i="1"/>
  <c r="H44" i="1"/>
  <c r="L44" i="1"/>
  <c r="R44" i="1"/>
  <c r="H45" i="1"/>
  <c r="L45" i="1"/>
  <c r="R45" i="1"/>
  <c r="H46" i="1"/>
  <c r="L46" i="1"/>
  <c r="R46" i="1"/>
  <c r="H47" i="1"/>
  <c r="L47" i="1"/>
  <c r="R47" i="1"/>
  <c r="H48" i="1"/>
  <c r="L48" i="1"/>
  <c r="R48" i="1"/>
  <c r="H49" i="1"/>
  <c r="L49" i="1"/>
  <c r="R49" i="1"/>
  <c r="H19" i="1"/>
  <c r="L19" i="1"/>
  <c r="R19" i="1"/>
  <c r="I123" i="1" l="1"/>
  <c r="Q138" i="1"/>
  <c r="M142" i="1"/>
  <c r="I138" i="1"/>
  <c r="Q162" i="1"/>
  <c r="Q150" i="1"/>
  <c r="Q142" i="1"/>
  <c r="M150" i="1"/>
  <c r="Q123" i="1"/>
  <c r="Q122" i="1"/>
  <c r="M122" i="1"/>
  <c r="S43" i="1"/>
  <c r="P43" i="1" s="1"/>
  <c r="Q43" i="1" s="1"/>
  <c r="S36" i="1"/>
  <c r="P36" i="1" s="1"/>
  <c r="Q36" i="1" s="1"/>
  <c r="M113" i="1"/>
  <c r="S33" i="1"/>
  <c r="P33" i="1" s="1"/>
  <c r="Q33" i="1" s="1"/>
  <c r="S47" i="1"/>
  <c r="P47" i="1" s="1"/>
  <c r="Q47" i="1" s="1"/>
  <c r="S39" i="1"/>
  <c r="P39" i="1" s="1"/>
  <c r="Q39" i="1" s="1"/>
  <c r="Q113" i="1"/>
  <c r="S46" i="1"/>
  <c r="P46" i="1" s="1"/>
  <c r="Q46" i="1" s="1"/>
  <c r="S42" i="1"/>
  <c r="P42" i="1" s="1"/>
  <c r="Q42" i="1" s="1"/>
  <c r="S54" i="1"/>
  <c r="P54" i="1" s="1"/>
  <c r="Q54" i="1" s="1"/>
  <c r="M36" i="1"/>
  <c r="I22" i="1"/>
  <c r="S25" i="1"/>
  <c r="P25" i="1" s="1"/>
  <c r="Q25" i="1" s="1"/>
  <c r="M23" i="1"/>
  <c r="M27" i="1"/>
  <c r="M35" i="1"/>
  <c r="S53" i="1"/>
  <c r="P53" i="1" s="1"/>
  <c r="Q53" i="1" s="1"/>
  <c r="M20" i="1"/>
  <c r="I124" i="1"/>
  <c r="I41" i="1"/>
  <c r="Q124" i="1"/>
  <c r="I61" i="1"/>
  <c r="S58" i="1"/>
  <c r="P58" i="1" s="1"/>
  <c r="Q58" i="1" s="1"/>
  <c r="I54" i="1"/>
  <c r="S35" i="1"/>
  <c r="P35" i="1" s="1"/>
  <c r="Q35" i="1" s="1"/>
  <c r="S55" i="1"/>
  <c r="P55" i="1" s="1"/>
  <c r="Q55" i="1" s="1"/>
  <c r="S29" i="1"/>
  <c r="P29" i="1" s="1"/>
  <c r="Q29" i="1" s="1"/>
  <c r="S21" i="1"/>
  <c r="P21" i="1" s="1"/>
  <c r="Q21" i="1" s="1"/>
  <c r="S51" i="1"/>
  <c r="P51" i="1" s="1"/>
  <c r="Q51" i="1" s="1"/>
  <c r="I59" i="1"/>
  <c r="S32" i="1"/>
  <c r="P32" i="1" s="1"/>
  <c r="Q32" i="1" s="1"/>
  <c r="E28" i="1"/>
  <c r="M28" i="1" s="1"/>
  <c r="S24" i="1"/>
  <c r="P24" i="1" s="1"/>
  <c r="Q24" i="1" s="1"/>
  <c r="S20" i="1"/>
  <c r="P20" i="1" s="1"/>
  <c r="Q20" i="1" s="1"/>
  <c r="I58" i="1"/>
  <c r="S37" i="1"/>
  <c r="P37" i="1" s="1"/>
  <c r="Q37" i="1" s="1"/>
  <c r="M59" i="1"/>
  <c r="S57" i="1"/>
  <c r="P57" i="1" s="1"/>
  <c r="Q57" i="1" s="1"/>
  <c r="I53" i="1"/>
  <c r="M31" i="1"/>
  <c r="I46" i="1"/>
  <c r="S56" i="1"/>
  <c r="P56" i="1" s="1"/>
  <c r="Q56" i="1" s="1"/>
  <c r="S45" i="1"/>
  <c r="P45" i="1" s="1"/>
  <c r="Q45" i="1" s="1"/>
  <c r="M43" i="1"/>
  <c r="S27" i="1"/>
  <c r="P27" i="1" s="1"/>
  <c r="Q27" i="1" s="1"/>
  <c r="I30" i="1"/>
  <c r="M44" i="1"/>
  <c r="I49" i="1"/>
  <c r="I42" i="1"/>
  <c r="M32" i="1"/>
  <c r="M24" i="1"/>
  <c r="I60" i="1"/>
  <c r="I56" i="1"/>
  <c r="I50" i="1"/>
  <c r="S49" i="1"/>
  <c r="P49" i="1" s="1"/>
  <c r="Q49" i="1" s="1"/>
  <c r="M47" i="1"/>
  <c r="S41" i="1"/>
  <c r="P41" i="1" s="1"/>
  <c r="Q41" i="1" s="1"/>
  <c r="M39" i="1"/>
  <c r="I37" i="1"/>
  <c r="I36" i="1"/>
  <c r="S31" i="1"/>
  <c r="P31" i="1" s="1"/>
  <c r="Q31" i="1" s="1"/>
  <c r="I29" i="1"/>
  <c r="S23" i="1"/>
  <c r="P23" i="1" s="1"/>
  <c r="Q23" i="1" s="1"/>
  <c r="I21" i="1"/>
  <c r="P59" i="1"/>
  <c r="Q59" i="1" s="1"/>
  <c r="M53" i="1"/>
  <c r="I26" i="1"/>
  <c r="I34" i="1"/>
  <c r="I38" i="1"/>
  <c r="M40" i="1"/>
  <c r="M48" i="1"/>
  <c r="I52" i="1"/>
  <c r="I45" i="1"/>
  <c r="I33" i="1"/>
  <c r="I25" i="1"/>
  <c r="M19" i="1"/>
  <c r="M61" i="1"/>
  <c r="P60" i="1"/>
  <c r="Q60" i="1" s="1"/>
  <c r="M54" i="1"/>
  <c r="S48" i="1"/>
  <c r="P48" i="1" s="1"/>
  <c r="Q48" i="1" s="1"/>
  <c r="S44" i="1"/>
  <c r="P44" i="1" s="1"/>
  <c r="Q44" i="1" s="1"/>
  <c r="S40" i="1"/>
  <c r="P40" i="1" s="1"/>
  <c r="Q40" i="1" s="1"/>
  <c r="P61" i="1"/>
  <c r="Q61" i="1" s="1"/>
  <c r="S52" i="1"/>
  <c r="P52" i="1" s="1"/>
  <c r="Q52" i="1" s="1"/>
  <c r="I51" i="1"/>
  <c r="M50" i="1"/>
  <c r="M60" i="1"/>
  <c r="M58" i="1"/>
  <c r="M57" i="1"/>
  <c r="I57" i="1"/>
  <c r="M56" i="1"/>
  <c r="M55" i="1"/>
  <c r="I55" i="1"/>
  <c r="M52" i="1"/>
  <c r="M51" i="1"/>
  <c r="P50" i="1"/>
  <c r="Q50" i="1" s="1"/>
  <c r="M49" i="1"/>
  <c r="I48" i="1"/>
  <c r="M45" i="1"/>
  <c r="I44" i="1"/>
  <c r="M41" i="1"/>
  <c r="I40" i="1"/>
  <c r="S34" i="1"/>
  <c r="P34" i="1" s="1"/>
  <c r="Q34" i="1" s="1"/>
  <c r="S30" i="1"/>
  <c r="P30" i="1" s="1"/>
  <c r="Q30" i="1" s="1"/>
  <c r="S26" i="1"/>
  <c r="P26" i="1" s="1"/>
  <c r="Q26" i="1" s="1"/>
  <c r="S22" i="1"/>
  <c r="P22" i="1" s="1"/>
  <c r="Q22" i="1" s="1"/>
  <c r="I47" i="1"/>
  <c r="M46" i="1"/>
  <c r="I43" i="1"/>
  <c r="M42" i="1"/>
  <c r="I39" i="1"/>
  <c r="S38" i="1"/>
  <c r="P38" i="1" s="1"/>
  <c r="Q38" i="1" s="1"/>
  <c r="I24" i="1"/>
  <c r="M38" i="1"/>
  <c r="M37" i="1"/>
  <c r="I35" i="1"/>
  <c r="M34" i="1"/>
  <c r="M33" i="1"/>
  <c r="I32" i="1"/>
  <c r="I31" i="1"/>
  <c r="M30" i="1"/>
  <c r="M29" i="1"/>
  <c r="P28" i="1"/>
  <c r="I27" i="1"/>
  <c r="M26" i="1"/>
  <c r="M25" i="1"/>
  <c r="I23" i="1"/>
  <c r="M22" i="1"/>
  <c r="M21" i="1"/>
  <c r="I20" i="1"/>
  <c r="I19" i="1"/>
  <c r="S19" i="1"/>
  <c r="P19" i="1" s="1"/>
  <c r="Q19" i="1" s="1"/>
  <c r="Q28" i="1" l="1"/>
  <c r="I28" i="1"/>
  <c r="G182" i="1"/>
  <c r="E182" i="1" s="1"/>
  <c r="G181" i="1"/>
  <c r="N180" i="1"/>
  <c r="L180" i="1" s="1"/>
  <c r="J180" i="1"/>
  <c r="B182" i="1"/>
  <c r="B181" i="1"/>
  <c r="C182" i="1"/>
  <c r="C181" i="1"/>
  <c r="H182" i="1"/>
  <c r="L182" i="1"/>
  <c r="R182" i="1"/>
  <c r="R181" i="1"/>
  <c r="L181" i="1"/>
  <c r="H181" i="1"/>
  <c r="E181" i="1" l="1"/>
  <c r="I181" i="1" s="1"/>
  <c r="G180" i="1"/>
  <c r="S181" i="1"/>
  <c r="P181" i="1" s="1"/>
  <c r="I182" i="1"/>
  <c r="M182" i="1"/>
  <c r="S182" i="1"/>
  <c r="P182" i="1" s="1"/>
  <c r="Q182" i="1" s="1"/>
  <c r="H180" i="1"/>
  <c r="G233" i="1"/>
  <c r="E233" i="1" s="1"/>
  <c r="G232" i="1"/>
  <c r="E232" i="1" s="1"/>
  <c r="B233" i="1"/>
  <c r="B232" i="1"/>
  <c r="C233" i="1"/>
  <c r="C232" i="1"/>
  <c r="H232" i="1"/>
  <c r="L232" i="1"/>
  <c r="R232" i="1"/>
  <c r="H233" i="1"/>
  <c r="L233" i="1"/>
  <c r="R233" i="1"/>
  <c r="E180" i="1" l="1"/>
  <c r="Q181" i="1"/>
  <c r="M181" i="1"/>
  <c r="I180" i="1"/>
  <c r="M232" i="1"/>
  <c r="I233" i="1"/>
  <c r="S180" i="1"/>
  <c r="S233" i="1"/>
  <c r="P233" i="1" s="1"/>
  <c r="Q233" i="1" s="1"/>
  <c r="S232" i="1"/>
  <c r="P232" i="1" s="1"/>
  <c r="Q232" i="1" s="1"/>
  <c r="M233" i="1"/>
  <c r="I232" i="1"/>
  <c r="G225" i="1"/>
  <c r="S225" i="1" s="1"/>
  <c r="C225" i="1"/>
  <c r="B225" i="1"/>
  <c r="R225" i="1"/>
  <c r="L225" i="1"/>
  <c r="H225" i="1"/>
  <c r="O224" i="1"/>
  <c r="K224" i="1"/>
  <c r="F224" i="1"/>
  <c r="G223" i="1"/>
  <c r="G222" i="1" s="1"/>
  <c r="C223" i="1"/>
  <c r="B223" i="1"/>
  <c r="O222" i="1"/>
  <c r="K222" i="1"/>
  <c r="F222" i="1"/>
  <c r="R223" i="1"/>
  <c r="R222" i="1" s="1"/>
  <c r="L223" i="1"/>
  <c r="H223" i="1"/>
  <c r="G206" i="1"/>
  <c r="E206" i="1" s="1"/>
  <c r="B206" i="1"/>
  <c r="C206" i="1"/>
  <c r="H206" i="1"/>
  <c r="L206" i="1"/>
  <c r="R206" i="1"/>
  <c r="E222" i="1" l="1"/>
  <c r="E223" i="1"/>
  <c r="M223" i="1" s="1"/>
  <c r="S223" i="1"/>
  <c r="P223" i="1" s="1"/>
  <c r="P225" i="1"/>
  <c r="G224" i="1"/>
  <c r="E225" i="1"/>
  <c r="M225" i="1" s="1"/>
  <c r="S222" i="1"/>
  <c r="S206" i="1"/>
  <c r="P206" i="1" s="1"/>
  <c r="Q206" i="1" s="1"/>
  <c r="I206" i="1"/>
  <c r="M206" i="1"/>
  <c r="Q223" i="1" l="1"/>
  <c r="I223" i="1"/>
  <c r="E224" i="1"/>
  <c r="S224" i="1"/>
  <c r="I225" i="1"/>
  <c r="Q225" i="1"/>
  <c r="G286" i="1"/>
  <c r="E286" i="1" s="1"/>
  <c r="G285" i="1"/>
  <c r="B286" i="1"/>
  <c r="B285" i="1"/>
  <c r="C286" i="1"/>
  <c r="C285" i="1"/>
  <c r="N284" i="1"/>
  <c r="N282" i="1" s="1"/>
  <c r="O284" i="1"/>
  <c r="J284" i="1"/>
  <c r="K284" i="1"/>
  <c r="F284" i="1"/>
  <c r="H286" i="1"/>
  <c r="L286" i="1"/>
  <c r="R286" i="1"/>
  <c r="L285" i="1"/>
  <c r="H285" i="1"/>
  <c r="R285" i="1" l="1"/>
  <c r="R283" i="1"/>
  <c r="E283" i="1"/>
  <c r="H282" i="1"/>
  <c r="L282" i="1"/>
  <c r="L284" i="1"/>
  <c r="R284" i="1"/>
  <c r="E285" i="1"/>
  <c r="I285" i="1" s="1"/>
  <c r="S286" i="1"/>
  <c r="P286" i="1" s="1"/>
  <c r="Q286" i="1" s="1"/>
  <c r="I286" i="1"/>
  <c r="M286" i="1"/>
  <c r="S285" i="1"/>
  <c r="P285" i="1" s="1"/>
  <c r="Q285" i="1" s="1"/>
  <c r="G284" i="1"/>
  <c r="H284" i="1"/>
  <c r="F281" i="1"/>
  <c r="R281" i="1" s="1"/>
  <c r="F280" i="1"/>
  <c r="R280" i="1" s="1"/>
  <c r="N279" i="1"/>
  <c r="N245" i="1" s="1"/>
  <c r="L245" i="1" s="1"/>
  <c r="O279" i="1"/>
  <c r="J279" i="1"/>
  <c r="K279" i="1"/>
  <c r="G279" i="1"/>
  <c r="B281" i="1"/>
  <c r="B280" i="1"/>
  <c r="C281" i="1"/>
  <c r="C280" i="1"/>
  <c r="H281" i="1"/>
  <c r="L281" i="1"/>
  <c r="S281" i="1"/>
  <c r="L280" i="1"/>
  <c r="H280" i="1"/>
  <c r="S280" i="1"/>
  <c r="P283" i="1" l="1"/>
  <c r="R282" i="1"/>
  <c r="I283" i="1"/>
  <c r="M283" i="1"/>
  <c r="Q283" i="1"/>
  <c r="E284" i="1"/>
  <c r="I284" i="1" s="1"/>
  <c r="S279" i="1"/>
  <c r="H245" i="1"/>
  <c r="R245" i="1"/>
  <c r="L279" i="1"/>
  <c r="M285" i="1"/>
  <c r="E281" i="1"/>
  <c r="I281" i="1" s="1"/>
  <c r="P281" i="1"/>
  <c r="S284" i="1"/>
  <c r="P284" i="1" s="1"/>
  <c r="E280" i="1"/>
  <c r="I280" i="1" s="1"/>
  <c r="F279" i="1"/>
  <c r="F275" i="1" s="1"/>
  <c r="H279" i="1"/>
  <c r="P280" i="1"/>
  <c r="N5" i="8"/>
  <c r="O5" i="8"/>
  <c r="O4" i="8" s="1"/>
  <c r="J5" i="8"/>
  <c r="K5" i="8"/>
  <c r="K4" i="8" s="1"/>
  <c r="F5" i="8"/>
  <c r="G6" i="8"/>
  <c r="G5" i="8" s="1"/>
  <c r="G4" i="8" s="1"/>
  <c r="C6" i="8"/>
  <c r="B6" i="8"/>
  <c r="R16" i="9"/>
  <c r="L16" i="9"/>
  <c r="H16" i="9"/>
  <c r="G16" i="9"/>
  <c r="S16" i="9" s="1"/>
  <c r="C16" i="9"/>
  <c r="B16" i="9"/>
  <c r="R15" i="9"/>
  <c r="L15" i="9"/>
  <c r="H15" i="9"/>
  <c r="G15" i="9"/>
  <c r="S15" i="9" s="1"/>
  <c r="P15" i="9" s="1"/>
  <c r="C15" i="9"/>
  <c r="B15" i="9"/>
  <c r="O14" i="9"/>
  <c r="N14" i="9"/>
  <c r="L14" i="9" s="1"/>
  <c r="M14" i="9" s="1"/>
  <c r="K14" i="9"/>
  <c r="H14" i="9" s="1"/>
  <c r="J14" i="9"/>
  <c r="G14" i="9"/>
  <c r="F14" i="9"/>
  <c r="R14" i="9" s="1"/>
  <c r="E14" i="9"/>
  <c r="R13" i="9"/>
  <c r="L13" i="9"/>
  <c r="H13" i="9"/>
  <c r="G13" i="9"/>
  <c r="E13" i="9" s="1"/>
  <c r="M13" i="9" s="1"/>
  <c r="C13" i="9"/>
  <c r="B13" i="9"/>
  <c r="O12" i="9"/>
  <c r="N12" i="9"/>
  <c r="L12" i="9" s="1"/>
  <c r="K12" i="9"/>
  <c r="H12" i="9" s="1"/>
  <c r="J12" i="9"/>
  <c r="G12" i="9"/>
  <c r="E12" i="9" s="1"/>
  <c r="F12" i="9"/>
  <c r="O11" i="9"/>
  <c r="N11" i="9"/>
  <c r="J11" i="9"/>
  <c r="G11" i="9"/>
  <c r="F11" i="9"/>
  <c r="R10" i="9"/>
  <c r="L10" i="9"/>
  <c r="H10" i="9"/>
  <c r="G10" i="9"/>
  <c r="S10" i="9" s="1"/>
  <c r="C10" i="9"/>
  <c r="B10" i="9"/>
  <c r="R9" i="9"/>
  <c r="L9" i="9"/>
  <c r="H9" i="9"/>
  <c r="G9" i="9"/>
  <c r="S9" i="9" s="1"/>
  <c r="C9" i="9"/>
  <c r="B9" i="9"/>
  <c r="O8" i="9"/>
  <c r="N8" i="9"/>
  <c r="K8" i="9"/>
  <c r="J8" i="9"/>
  <c r="F8" i="9"/>
  <c r="R8" i="9" s="1"/>
  <c r="R7" i="9"/>
  <c r="L7" i="9"/>
  <c r="H7" i="9"/>
  <c r="G7" i="9"/>
  <c r="S7" i="9" s="1"/>
  <c r="C7" i="9"/>
  <c r="B7" i="9"/>
  <c r="O6" i="9"/>
  <c r="N6" i="9"/>
  <c r="L6" i="9" s="1"/>
  <c r="K6" i="9"/>
  <c r="J6" i="9"/>
  <c r="J4" i="9" s="1"/>
  <c r="F6" i="9"/>
  <c r="F5" i="9" s="1"/>
  <c r="N4" i="9"/>
  <c r="F4" i="9"/>
  <c r="M12" i="9" l="1"/>
  <c r="S13" i="9"/>
  <c r="P13" i="9" s="1"/>
  <c r="I12" i="9"/>
  <c r="G6" i="9"/>
  <c r="O5" i="9"/>
  <c r="O4" i="9" s="1"/>
  <c r="L8" i="9"/>
  <c r="R11" i="9"/>
  <c r="L11" i="9"/>
  <c r="R12" i="9"/>
  <c r="I14" i="9"/>
  <c r="L4" i="9"/>
  <c r="E10" i="9"/>
  <c r="Q284" i="1"/>
  <c r="E6" i="9"/>
  <c r="M6" i="9" s="1"/>
  <c r="E7" i="9"/>
  <c r="M7" i="9" s="1"/>
  <c r="G8" i="9"/>
  <c r="G5" i="9" s="1"/>
  <c r="M10" i="9"/>
  <c r="S282" i="1"/>
  <c r="P282" i="1" s="1"/>
  <c r="Q282" i="1" s="1"/>
  <c r="E282" i="1"/>
  <c r="I282" i="1" s="1"/>
  <c r="P16" i="9"/>
  <c r="S12" i="9"/>
  <c r="S6" i="9"/>
  <c r="H6" i="9"/>
  <c r="M281" i="1"/>
  <c r="K5" i="9"/>
  <c r="P9" i="9"/>
  <c r="Q281" i="1"/>
  <c r="S8" i="9"/>
  <c r="H8" i="9"/>
  <c r="I10" i="9"/>
  <c r="P10" i="9"/>
  <c r="Q10" i="9" s="1"/>
  <c r="E279" i="1"/>
  <c r="I279" i="1" s="1"/>
  <c r="Q280" i="1"/>
  <c r="M280" i="1"/>
  <c r="P14" i="9"/>
  <c r="Q14" i="9" s="1"/>
  <c r="S14" i="9"/>
  <c r="K11" i="9"/>
  <c r="H11" i="9" s="1"/>
  <c r="P7" i="9"/>
  <c r="Q7" i="9" s="1"/>
  <c r="R279" i="1"/>
  <c r="P279" i="1" s="1"/>
  <c r="Q13" i="9"/>
  <c r="I13" i="9"/>
  <c r="R4" i="9"/>
  <c r="R6" i="9"/>
  <c r="N5" i="9"/>
  <c r="L5" i="9" s="1"/>
  <c r="J5" i="9"/>
  <c r="E8" i="9"/>
  <c r="M8" i="9" s="1"/>
  <c r="E11" i="9"/>
  <c r="E15" i="9"/>
  <c r="Q15" i="9" s="1"/>
  <c r="E9" i="9"/>
  <c r="M9" i="9" s="1"/>
  <c r="E16" i="9"/>
  <c r="M16" i="9" s="1"/>
  <c r="P12" i="9"/>
  <c r="Q12" i="9" s="1"/>
  <c r="O209" i="1"/>
  <c r="O201" i="1" s="1"/>
  <c r="K209" i="1"/>
  <c r="K201" i="1" s="1"/>
  <c r="G221" i="1"/>
  <c r="E221" i="1" s="1"/>
  <c r="G220" i="1"/>
  <c r="E220" i="1" s="1"/>
  <c r="B221" i="1"/>
  <c r="B220" i="1"/>
  <c r="C221" i="1"/>
  <c r="C220" i="1"/>
  <c r="H220" i="1"/>
  <c r="L220" i="1"/>
  <c r="R220" i="1"/>
  <c r="H221" i="1"/>
  <c r="L221" i="1"/>
  <c r="R221" i="1"/>
  <c r="G219" i="1"/>
  <c r="S219" i="1" s="1"/>
  <c r="C219" i="1"/>
  <c r="B219" i="1"/>
  <c r="H219" i="1"/>
  <c r="L219" i="1"/>
  <c r="R219" i="1"/>
  <c r="I6" i="9" l="1"/>
  <c r="I7" i="9"/>
  <c r="G4" i="9"/>
  <c r="E4" i="9" s="1"/>
  <c r="M4" i="9" s="1"/>
  <c r="E5" i="9"/>
  <c r="Q9" i="9"/>
  <c r="I9" i="9"/>
  <c r="S5" i="9"/>
  <c r="P8" i="9"/>
  <c r="Q8" i="9" s="1"/>
  <c r="P6" i="9"/>
  <c r="Q6" i="9" s="1"/>
  <c r="H5" i="9"/>
  <c r="P11" i="9"/>
  <c r="Q11" i="9" s="1"/>
  <c r="I221" i="1"/>
  <c r="M220" i="1"/>
  <c r="Q279" i="1"/>
  <c r="S11" i="9"/>
  <c r="K4" i="9"/>
  <c r="S221" i="1"/>
  <c r="P221" i="1" s="1"/>
  <c r="Q221" i="1" s="1"/>
  <c r="S220" i="1"/>
  <c r="P220" i="1" s="1"/>
  <c r="Q220" i="1" s="1"/>
  <c r="Q16" i="9"/>
  <c r="I8" i="9"/>
  <c r="I15" i="9"/>
  <c r="M15" i="9"/>
  <c r="R5" i="9"/>
  <c r="I16" i="9"/>
  <c r="I11" i="9"/>
  <c r="M11" i="9" s="1"/>
  <c r="I220" i="1"/>
  <c r="M221" i="1"/>
  <c r="E219" i="1"/>
  <c r="I219" i="1" s="1"/>
  <c r="P219" i="1"/>
  <c r="B231" i="1"/>
  <c r="B230" i="1"/>
  <c r="B229" i="1"/>
  <c r="G231" i="1"/>
  <c r="E231" i="1" s="1"/>
  <c r="G230" i="1"/>
  <c r="E230" i="1" s="1"/>
  <c r="G229" i="1"/>
  <c r="E229" i="1" s="1"/>
  <c r="G228" i="1"/>
  <c r="C231" i="1"/>
  <c r="C230" i="1"/>
  <c r="C229" i="1"/>
  <c r="C228" i="1"/>
  <c r="H229" i="1"/>
  <c r="L229" i="1"/>
  <c r="R229" i="1"/>
  <c r="H230" i="1"/>
  <c r="L230" i="1"/>
  <c r="R230" i="1"/>
  <c r="H231" i="1"/>
  <c r="L231" i="1"/>
  <c r="R231" i="1"/>
  <c r="R228" i="1"/>
  <c r="L228" i="1"/>
  <c r="H228" i="1"/>
  <c r="L226" i="1"/>
  <c r="H226" i="1"/>
  <c r="B218" i="1"/>
  <c r="B217" i="1"/>
  <c r="B216" i="1"/>
  <c r="B215" i="1"/>
  <c r="B214" i="1"/>
  <c r="B213" i="1"/>
  <c r="B212" i="1"/>
  <c r="B211" i="1"/>
  <c r="B210" i="1"/>
  <c r="G218" i="1"/>
  <c r="S218" i="1" s="1"/>
  <c r="G217" i="1"/>
  <c r="E217" i="1" s="1"/>
  <c r="G216" i="1"/>
  <c r="S216" i="1" s="1"/>
  <c r="G215" i="1"/>
  <c r="E215" i="1" s="1"/>
  <c r="G214" i="1"/>
  <c r="E214" i="1" s="1"/>
  <c r="G213" i="1"/>
  <c r="S213" i="1" s="1"/>
  <c r="G212" i="1"/>
  <c r="S212" i="1" s="1"/>
  <c r="G211" i="1"/>
  <c r="E211" i="1" s="1"/>
  <c r="G210" i="1"/>
  <c r="C218" i="1"/>
  <c r="H218" i="1"/>
  <c r="L218" i="1"/>
  <c r="R218" i="1"/>
  <c r="C217" i="1"/>
  <c r="C216" i="1"/>
  <c r="C215" i="1"/>
  <c r="C214" i="1"/>
  <c r="C213" i="1"/>
  <c r="C212" i="1"/>
  <c r="C211" i="1"/>
  <c r="C210" i="1"/>
  <c r="H211" i="1"/>
  <c r="L211" i="1"/>
  <c r="R211" i="1"/>
  <c r="H212" i="1"/>
  <c r="L212" i="1"/>
  <c r="R212" i="1"/>
  <c r="H213" i="1"/>
  <c r="L213" i="1"/>
  <c r="R213" i="1"/>
  <c r="H214" i="1"/>
  <c r="L214" i="1"/>
  <c r="R214" i="1"/>
  <c r="H215" i="1"/>
  <c r="L215" i="1"/>
  <c r="R215" i="1"/>
  <c r="H216" i="1"/>
  <c r="L216" i="1"/>
  <c r="R216" i="1"/>
  <c r="H217" i="1"/>
  <c r="L217" i="1"/>
  <c r="R217" i="1"/>
  <c r="R210" i="1"/>
  <c r="L210" i="1"/>
  <c r="H210" i="1"/>
  <c r="N209" i="1"/>
  <c r="J209" i="1"/>
  <c r="H209" i="1" s="1"/>
  <c r="F209" i="1"/>
  <c r="F202" i="1" s="1"/>
  <c r="F199" i="1" s="1"/>
  <c r="E199" i="1" s="1"/>
  <c r="H201" i="1"/>
  <c r="G205" i="1"/>
  <c r="E205" i="1" s="1"/>
  <c r="G204" i="1"/>
  <c r="E204" i="1" s="1"/>
  <c r="G203" i="1"/>
  <c r="H204" i="1"/>
  <c r="L204" i="1"/>
  <c r="R204" i="1"/>
  <c r="H205" i="1"/>
  <c r="L205" i="1"/>
  <c r="R205" i="1"/>
  <c r="R203" i="1"/>
  <c r="L203" i="1"/>
  <c r="H203" i="1"/>
  <c r="C205" i="1"/>
  <c r="C204" i="1"/>
  <c r="C203" i="1"/>
  <c r="B205" i="1"/>
  <c r="B204" i="1"/>
  <c r="B203" i="1"/>
  <c r="G129" i="1"/>
  <c r="C129" i="1"/>
  <c r="B129" i="1"/>
  <c r="R129" i="1"/>
  <c r="L129" i="1"/>
  <c r="H129" i="1"/>
  <c r="P5" i="9" l="1"/>
  <c r="Q5" i="9" s="1"/>
  <c r="G202" i="1"/>
  <c r="G227" i="1"/>
  <c r="S129" i="1"/>
  <c r="P129" i="1" s="1"/>
  <c r="I231" i="1"/>
  <c r="I229" i="1"/>
  <c r="E228" i="1"/>
  <c r="I228" i="1" s="1"/>
  <c r="S203" i="1"/>
  <c r="P203" i="1" s="1"/>
  <c r="H4" i="9"/>
  <c r="S4" i="9"/>
  <c r="G209" i="1"/>
  <c r="S209" i="1" s="1"/>
  <c r="S230" i="1"/>
  <c r="P230" i="1" s="1"/>
  <c r="Q230" i="1" s="1"/>
  <c r="S210" i="1"/>
  <c r="P210" i="1" s="1"/>
  <c r="S229" i="1"/>
  <c r="P229" i="1" s="1"/>
  <c r="Q229" i="1" s="1"/>
  <c r="M219" i="1"/>
  <c r="Q219" i="1"/>
  <c r="S228" i="1"/>
  <c r="P228" i="1" s="1"/>
  <c r="S231" i="1"/>
  <c r="P231" i="1" s="1"/>
  <c r="Q231" i="1" s="1"/>
  <c r="M229" i="1"/>
  <c r="M204" i="1"/>
  <c r="M230" i="1"/>
  <c r="I230" i="1"/>
  <c r="M231" i="1"/>
  <c r="E216" i="1"/>
  <c r="I216" i="1" s="1"/>
  <c r="S211" i="1"/>
  <c r="P211" i="1" s="1"/>
  <c r="Q211" i="1" s="1"/>
  <c r="R209" i="1"/>
  <c r="R202" i="1" s="1"/>
  <c r="S205" i="1"/>
  <c r="P205" i="1" s="1"/>
  <c r="Q205" i="1" s="1"/>
  <c r="S215" i="1"/>
  <c r="P215" i="1" s="1"/>
  <c r="Q215" i="1" s="1"/>
  <c r="I217" i="1"/>
  <c r="P218" i="1"/>
  <c r="M211" i="1"/>
  <c r="M215" i="1"/>
  <c r="E213" i="1"/>
  <c r="I213" i="1" s="1"/>
  <c r="S214" i="1"/>
  <c r="P214" i="1" s="1"/>
  <c r="Q214" i="1" s="1"/>
  <c r="M205" i="1"/>
  <c r="S204" i="1"/>
  <c r="P204" i="1" s="1"/>
  <c r="Q204" i="1" s="1"/>
  <c r="E218" i="1"/>
  <c r="M218" i="1" s="1"/>
  <c r="S217" i="1"/>
  <c r="P217" i="1" s="1"/>
  <c r="Q217" i="1" s="1"/>
  <c r="E212" i="1"/>
  <c r="M212" i="1" s="1"/>
  <c r="M217" i="1"/>
  <c r="P216" i="1"/>
  <c r="I215" i="1"/>
  <c r="M214" i="1"/>
  <c r="I214" i="1"/>
  <c r="P213" i="1"/>
  <c r="P212" i="1"/>
  <c r="I211" i="1"/>
  <c r="I205" i="1"/>
  <c r="J202" i="1"/>
  <c r="H202" i="1" s="1"/>
  <c r="L209" i="1"/>
  <c r="E210" i="1"/>
  <c r="I210" i="1" s="1"/>
  <c r="N202" i="1"/>
  <c r="L202" i="1" s="1"/>
  <c r="I204" i="1"/>
  <c r="E203" i="1"/>
  <c r="I203" i="1" s="1"/>
  <c r="E129" i="1"/>
  <c r="I129" i="1" s="1"/>
  <c r="J128" i="1"/>
  <c r="F128" i="1"/>
  <c r="N128" i="1"/>
  <c r="R199" i="1" l="1"/>
  <c r="R193" i="1" s="1"/>
  <c r="S227" i="1"/>
  <c r="P227" i="1" s="1"/>
  <c r="E227" i="1"/>
  <c r="I227" i="1" s="1"/>
  <c r="Q228" i="1"/>
  <c r="M228" i="1"/>
  <c r="S202" i="1"/>
  <c r="G201" i="1"/>
  <c r="M216" i="1"/>
  <c r="I4" i="9"/>
  <c r="P4" i="9"/>
  <c r="Q4" i="9" s="1"/>
  <c r="E209" i="1"/>
  <c r="I209" i="1" s="1"/>
  <c r="L201" i="1"/>
  <c r="Q216" i="1"/>
  <c r="M213" i="1"/>
  <c r="I218" i="1"/>
  <c r="Q213" i="1"/>
  <c r="Q218" i="1"/>
  <c r="M129" i="1"/>
  <c r="I212" i="1"/>
  <c r="P209" i="1"/>
  <c r="Q212" i="1"/>
  <c r="M210" i="1"/>
  <c r="Q210" i="1"/>
  <c r="Q203" i="1"/>
  <c r="M203" i="1"/>
  <c r="E202" i="1"/>
  <c r="I202" i="1" s="1"/>
  <c r="Q129" i="1"/>
  <c r="H128" i="1"/>
  <c r="G136" i="1"/>
  <c r="E136" i="1" s="1"/>
  <c r="G135" i="1"/>
  <c r="E135" i="1" s="1"/>
  <c r="G134" i="1"/>
  <c r="E134" i="1" s="1"/>
  <c r="G133" i="1"/>
  <c r="E133" i="1" s="1"/>
  <c r="G132" i="1"/>
  <c r="E132" i="1" s="1"/>
  <c r="G131" i="1"/>
  <c r="E131" i="1" s="1"/>
  <c r="G130" i="1"/>
  <c r="B136" i="1"/>
  <c r="B135" i="1"/>
  <c r="B134" i="1"/>
  <c r="B133" i="1"/>
  <c r="B132" i="1"/>
  <c r="B131" i="1"/>
  <c r="B130" i="1"/>
  <c r="C136" i="1"/>
  <c r="C135" i="1"/>
  <c r="C134" i="1"/>
  <c r="C133" i="1"/>
  <c r="C132" i="1"/>
  <c r="C131" i="1"/>
  <c r="C130" i="1"/>
  <c r="H136" i="1"/>
  <c r="L136" i="1"/>
  <c r="R136" i="1"/>
  <c r="H133" i="1"/>
  <c r="L133" i="1"/>
  <c r="R133" i="1"/>
  <c r="H134" i="1"/>
  <c r="L134" i="1"/>
  <c r="R134" i="1"/>
  <c r="H135" i="1"/>
  <c r="L135" i="1"/>
  <c r="R135" i="1"/>
  <c r="H130" i="1"/>
  <c r="L130" i="1"/>
  <c r="R130" i="1"/>
  <c r="H131" i="1"/>
  <c r="L131" i="1"/>
  <c r="R131" i="1"/>
  <c r="H132" i="1"/>
  <c r="L132" i="1"/>
  <c r="R132" i="1"/>
  <c r="G107" i="1"/>
  <c r="E107" i="1" s="1"/>
  <c r="G106" i="1"/>
  <c r="E106" i="1" s="1"/>
  <c r="G105" i="1"/>
  <c r="E105" i="1" s="1"/>
  <c r="G104" i="1"/>
  <c r="E104" i="1" s="1"/>
  <c r="G103" i="1"/>
  <c r="E103" i="1" s="1"/>
  <c r="G102" i="1"/>
  <c r="C107" i="1"/>
  <c r="C106" i="1"/>
  <c r="C105" i="1"/>
  <c r="C104" i="1"/>
  <c r="C103" i="1"/>
  <c r="C102" i="1"/>
  <c r="B107" i="1"/>
  <c r="B106" i="1"/>
  <c r="B105" i="1"/>
  <c r="B104" i="1"/>
  <c r="B103" i="1"/>
  <c r="B102" i="1"/>
  <c r="H103" i="1"/>
  <c r="L103" i="1"/>
  <c r="R103" i="1"/>
  <c r="H104" i="1"/>
  <c r="L104" i="1"/>
  <c r="R104" i="1"/>
  <c r="H105" i="1"/>
  <c r="L105" i="1"/>
  <c r="R105" i="1"/>
  <c r="H106" i="1"/>
  <c r="L106" i="1"/>
  <c r="R106" i="1"/>
  <c r="H107" i="1"/>
  <c r="L107" i="1"/>
  <c r="R107" i="1"/>
  <c r="R102" i="1"/>
  <c r="L102" i="1"/>
  <c r="H102" i="1"/>
  <c r="N101" i="1"/>
  <c r="J101" i="1"/>
  <c r="F101" i="1"/>
  <c r="G95" i="1"/>
  <c r="E95" i="1" s="1"/>
  <c r="G94" i="1"/>
  <c r="E94" i="1" s="1"/>
  <c r="G93" i="1"/>
  <c r="E93" i="1" s="1"/>
  <c r="G92" i="1"/>
  <c r="E92" i="1" s="1"/>
  <c r="G91" i="1"/>
  <c r="E91" i="1" s="1"/>
  <c r="G90" i="1"/>
  <c r="E90" i="1" s="1"/>
  <c r="G89" i="1"/>
  <c r="E89" i="1" s="1"/>
  <c r="G88" i="1"/>
  <c r="E88" i="1" s="1"/>
  <c r="G87" i="1"/>
  <c r="E87" i="1" s="1"/>
  <c r="G86" i="1"/>
  <c r="E86" i="1" s="1"/>
  <c r="G85" i="1"/>
  <c r="E85" i="1" s="1"/>
  <c r="G84" i="1"/>
  <c r="C95" i="1"/>
  <c r="C94" i="1"/>
  <c r="C93" i="1"/>
  <c r="C92" i="1"/>
  <c r="C91" i="1"/>
  <c r="C90" i="1"/>
  <c r="C89" i="1"/>
  <c r="C88" i="1"/>
  <c r="C87" i="1"/>
  <c r="C86" i="1"/>
  <c r="C85" i="1"/>
  <c r="C84" i="1"/>
  <c r="B95" i="1"/>
  <c r="B94" i="1"/>
  <c r="B93" i="1"/>
  <c r="B92" i="1"/>
  <c r="B91" i="1"/>
  <c r="B90" i="1"/>
  <c r="B89" i="1"/>
  <c r="B88" i="1"/>
  <c r="B87" i="1"/>
  <c r="B86" i="1"/>
  <c r="B85" i="1"/>
  <c r="B84" i="1"/>
  <c r="H90" i="1"/>
  <c r="L90" i="1"/>
  <c r="R90" i="1"/>
  <c r="H91" i="1"/>
  <c r="L91" i="1"/>
  <c r="R91" i="1"/>
  <c r="H92" i="1"/>
  <c r="L92" i="1"/>
  <c r="R92" i="1"/>
  <c r="H93" i="1"/>
  <c r="L93" i="1"/>
  <c r="R93" i="1"/>
  <c r="H94" i="1"/>
  <c r="L94" i="1"/>
  <c r="R94" i="1"/>
  <c r="H95" i="1"/>
  <c r="L95" i="1"/>
  <c r="R95" i="1"/>
  <c r="H85" i="1"/>
  <c r="L85" i="1"/>
  <c r="R85" i="1"/>
  <c r="H86" i="1"/>
  <c r="L86" i="1"/>
  <c r="R86" i="1"/>
  <c r="H87" i="1"/>
  <c r="L87" i="1"/>
  <c r="R87" i="1"/>
  <c r="H88" i="1"/>
  <c r="L88" i="1"/>
  <c r="R88" i="1"/>
  <c r="H89" i="1"/>
  <c r="L89" i="1"/>
  <c r="R89" i="1"/>
  <c r="R84" i="1"/>
  <c r="L84" i="1"/>
  <c r="H84" i="1"/>
  <c r="N83" i="1"/>
  <c r="J83" i="1"/>
  <c r="F83" i="1"/>
  <c r="P193" i="1" l="1"/>
  <c r="Q193" i="1" s="1"/>
  <c r="R184" i="1"/>
  <c r="P184" i="1" s="1"/>
  <c r="Q184" i="1" s="1"/>
  <c r="T184" i="1" s="1"/>
  <c r="G101" i="1"/>
  <c r="G83" i="1"/>
  <c r="G128" i="1"/>
  <c r="R180" i="1"/>
  <c r="P180" i="1" s="1"/>
  <c r="Q180" i="1" s="1"/>
  <c r="T180" i="1" s="1"/>
  <c r="Q227" i="1"/>
  <c r="S107" i="1"/>
  <c r="P107" i="1" s="1"/>
  <c r="Q107" i="1" s="1"/>
  <c r="E102" i="1"/>
  <c r="M102" i="1" s="1"/>
  <c r="E84" i="1"/>
  <c r="M84" i="1" s="1"/>
  <c r="Q209" i="1"/>
  <c r="T4" i="9"/>
  <c r="M95" i="1"/>
  <c r="S136" i="1"/>
  <c r="P136" i="1" s="1"/>
  <c r="Q136" i="1" s="1"/>
  <c r="P202" i="1"/>
  <c r="Q202" i="1" s="1"/>
  <c r="S201" i="1"/>
  <c r="P201" i="1" s="1"/>
  <c r="E201" i="1"/>
  <c r="I201" i="1" s="1"/>
  <c r="S88" i="1"/>
  <c r="P88" i="1" s="1"/>
  <c r="Q88" i="1" s="1"/>
  <c r="M107" i="1"/>
  <c r="E130" i="1"/>
  <c r="M130" i="1" s="1"/>
  <c r="S130" i="1"/>
  <c r="R128" i="1"/>
  <c r="S131" i="1"/>
  <c r="P131" i="1" s="1"/>
  <c r="Q131" i="1" s="1"/>
  <c r="S135" i="1"/>
  <c r="P135" i="1" s="1"/>
  <c r="Q135" i="1" s="1"/>
  <c r="I132" i="1"/>
  <c r="S134" i="1"/>
  <c r="P134" i="1" s="1"/>
  <c r="Q134" i="1" s="1"/>
  <c r="M133" i="1"/>
  <c r="S102" i="1"/>
  <c r="P102" i="1" s="1"/>
  <c r="S86" i="1"/>
  <c r="P86" i="1" s="1"/>
  <c r="Q86" i="1" s="1"/>
  <c r="L83" i="1"/>
  <c r="S87" i="1"/>
  <c r="P87" i="1" s="1"/>
  <c r="Q87" i="1" s="1"/>
  <c r="S103" i="1"/>
  <c r="P103" i="1" s="1"/>
  <c r="Q103" i="1" s="1"/>
  <c r="I134" i="1"/>
  <c r="S95" i="1"/>
  <c r="P95" i="1" s="1"/>
  <c r="Q95" i="1" s="1"/>
  <c r="S106" i="1"/>
  <c r="P106" i="1" s="1"/>
  <c r="Q106" i="1" s="1"/>
  <c r="I88" i="1"/>
  <c r="S91" i="1"/>
  <c r="P91" i="1" s="1"/>
  <c r="Q91" i="1" s="1"/>
  <c r="M106" i="1"/>
  <c r="S104" i="1"/>
  <c r="P104" i="1" s="1"/>
  <c r="Q104" i="1" s="1"/>
  <c r="S132" i="1"/>
  <c r="P132" i="1" s="1"/>
  <c r="Q132" i="1" s="1"/>
  <c r="S90" i="1"/>
  <c r="P90" i="1" s="1"/>
  <c r="Q90" i="1" s="1"/>
  <c r="M103" i="1"/>
  <c r="S133" i="1"/>
  <c r="P133" i="1" s="1"/>
  <c r="Q133" i="1" s="1"/>
  <c r="S94" i="1"/>
  <c r="P94" i="1" s="1"/>
  <c r="Q94" i="1" s="1"/>
  <c r="S92" i="1"/>
  <c r="P92" i="1" s="1"/>
  <c r="Q92" i="1" s="1"/>
  <c r="S105" i="1"/>
  <c r="P105" i="1" s="1"/>
  <c r="Q105" i="1" s="1"/>
  <c r="I133" i="1"/>
  <c r="S89" i="1"/>
  <c r="P89" i="1" s="1"/>
  <c r="Q89" i="1" s="1"/>
  <c r="S85" i="1"/>
  <c r="P85" i="1" s="1"/>
  <c r="Q85" i="1" s="1"/>
  <c r="M136" i="1"/>
  <c r="I87" i="1"/>
  <c r="I107" i="1"/>
  <c r="S93" i="1"/>
  <c r="P93" i="1" s="1"/>
  <c r="Q93" i="1" s="1"/>
  <c r="M91" i="1"/>
  <c r="I91" i="1"/>
  <c r="I131" i="1"/>
  <c r="M86" i="1"/>
  <c r="I93" i="1"/>
  <c r="I104" i="1"/>
  <c r="I136" i="1"/>
  <c r="M135" i="1"/>
  <c r="I135" i="1"/>
  <c r="M134" i="1"/>
  <c r="M132" i="1"/>
  <c r="M131" i="1"/>
  <c r="I106" i="1"/>
  <c r="M105" i="1"/>
  <c r="I105" i="1"/>
  <c r="M104" i="1"/>
  <c r="I103" i="1"/>
  <c r="L101" i="1"/>
  <c r="R101" i="1"/>
  <c r="H101" i="1"/>
  <c r="I95" i="1"/>
  <c r="M94" i="1"/>
  <c r="I94" i="1"/>
  <c r="M93" i="1"/>
  <c r="M92" i="1"/>
  <c r="I92" i="1"/>
  <c r="I90" i="1"/>
  <c r="M90" i="1"/>
  <c r="M89" i="1"/>
  <c r="I89" i="1"/>
  <c r="M88" i="1"/>
  <c r="M87" i="1"/>
  <c r="I86" i="1"/>
  <c r="I85" i="1"/>
  <c r="M85" i="1"/>
  <c r="H83" i="1"/>
  <c r="S84" i="1"/>
  <c r="R83" i="1"/>
  <c r="N276" i="1"/>
  <c r="N275" i="1" s="1"/>
  <c r="O276" i="1"/>
  <c r="O275" i="1" s="1"/>
  <c r="J276" i="1"/>
  <c r="J275" i="1" s="1"/>
  <c r="K276" i="1"/>
  <c r="K275" i="1" s="1"/>
  <c r="F4" i="1"/>
  <c r="G278" i="1"/>
  <c r="S278" i="1" s="1"/>
  <c r="H278" i="1"/>
  <c r="L278" i="1"/>
  <c r="R278" i="1"/>
  <c r="G277" i="1"/>
  <c r="C278" i="1"/>
  <c r="C277" i="1"/>
  <c r="B278" i="1"/>
  <c r="B277" i="1"/>
  <c r="R277" i="1"/>
  <c r="L277" i="1"/>
  <c r="H277" i="1"/>
  <c r="H234" i="1" l="1"/>
  <c r="I234" i="1" s="1"/>
  <c r="J4" i="1"/>
  <c r="N234" i="1"/>
  <c r="N222" i="1" s="1"/>
  <c r="L222" i="1" s="1"/>
  <c r="N4" i="1"/>
  <c r="R275" i="1"/>
  <c r="I102" i="1"/>
  <c r="I84" i="1"/>
  <c r="Q102" i="1"/>
  <c r="H275" i="1"/>
  <c r="R276" i="1"/>
  <c r="E83" i="1"/>
  <c r="I83" i="1" s="1"/>
  <c r="S83" i="1"/>
  <c r="P83" i="1" s="1"/>
  <c r="E101" i="1"/>
  <c r="I101" i="1" s="1"/>
  <c r="S101" i="1"/>
  <c r="P101" i="1" s="1"/>
  <c r="M201" i="1"/>
  <c r="Q201" i="1"/>
  <c r="T201" i="1" s="1"/>
  <c r="I130" i="1"/>
  <c r="P130" i="1"/>
  <c r="Q130" i="1" s="1"/>
  <c r="G276" i="1"/>
  <c r="G275" i="1" s="1"/>
  <c r="E277" i="1"/>
  <c r="I277" i="1" s="1"/>
  <c r="S277" i="1"/>
  <c r="L276" i="1"/>
  <c r="P84" i="1"/>
  <c r="Q84" i="1" s="1"/>
  <c r="P278" i="1"/>
  <c r="L275" i="1"/>
  <c r="E278" i="1"/>
  <c r="H276" i="1"/>
  <c r="C16" i="7"/>
  <c r="C15" i="7"/>
  <c r="C14" i="7"/>
  <c r="C13" i="7"/>
  <c r="C12" i="7"/>
  <c r="C11" i="7"/>
  <c r="C10" i="7"/>
  <c r="F4" i="7"/>
  <c r="R17" i="7"/>
  <c r="P17" i="7" s="1"/>
  <c r="L17" i="7"/>
  <c r="H17" i="7"/>
  <c r="S17" i="7"/>
  <c r="C17" i="7"/>
  <c r="B17" i="7"/>
  <c r="N224" i="1" l="1"/>
  <c r="L224" i="1" s="1"/>
  <c r="L234" i="1"/>
  <c r="H222" i="1"/>
  <c r="I222" i="1" s="1"/>
  <c r="P234" i="1"/>
  <c r="Q234" i="1" s="1"/>
  <c r="Q101" i="1"/>
  <c r="T101" i="1" s="1"/>
  <c r="Q83" i="1"/>
  <c r="T83" i="1" s="1"/>
  <c r="E275" i="1"/>
  <c r="I275" i="1" s="1"/>
  <c r="S276" i="1"/>
  <c r="P276" i="1" s="1"/>
  <c r="P277" i="1"/>
  <c r="Q277" i="1" s="1"/>
  <c r="E276" i="1"/>
  <c r="I276" i="1" s="1"/>
  <c r="M277" i="1"/>
  <c r="Q278" i="1"/>
  <c r="I278" i="1"/>
  <c r="M278" i="1"/>
  <c r="E17" i="7"/>
  <c r="R224" i="1" l="1"/>
  <c r="P224" i="1" s="1"/>
  <c r="Q224" i="1" s="1"/>
  <c r="H224" i="1"/>
  <c r="I224" i="1" s="1"/>
  <c r="P222" i="1"/>
  <c r="Q222" i="1" s="1"/>
  <c r="M275" i="1"/>
  <c r="S275" i="1"/>
  <c r="P275" i="1" s="1"/>
  <c r="Q275" i="1" s="1"/>
  <c r="T275" i="1" s="1"/>
  <c r="Q276" i="1"/>
  <c r="M17" i="7"/>
  <c r="I17" i="7"/>
  <c r="Q17" i="7"/>
  <c r="G17" i="1"/>
  <c r="G16" i="1"/>
  <c r="G15" i="1"/>
  <c r="G14" i="1"/>
  <c r="G13" i="1"/>
  <c r="G12" i="1"/>
  <c r="G11" i="1" l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O69" i="1"/>
  <c r="K69" i="1"/>
  <c r="G82" i="1"/>
  <c r="S82" i="1" s="1"/>
  <c r="G81" i="1"/>
  <c r="E81" i="1" s="1"/>
  <c r="G80" i="1"/>
  <c r="E80" i="1" s="1"/>
  <c r="G78" i="1"/>
  <c r="E78" i="1" s="1"/>
  <c r="G79" i="1"/>
  <c r="S79" i="1" s="1"/>
  <c r="G77" i="1"/>
  <c r="E77" i="1" s="1"/>
  <c r="G76" i="1"/>
  <c r="E76" i="1" s="1"/>
  <c r="G75" i="1"/>
  <c r="E75" i="1" s="1"/>
  <c r="G74" i="1"/>
  <c r="E74" i="1" s="1"/>
  <c r="G73" i="1"/>
  <c r="E73" i="1" s="1"/>
  <c r="G72" i="1"/>
  <c r="E72" i="1" s="1"/>
  <c r="G71" i="1"/>
  <c r="E71" i="1" s="1"/>
  <c r="G70" i="1"/>
  <c r="S70" i="1" s="1"/>
  <c r="H71" i="1"/>
  <c r="L71" i="1"/>
  <c r="R71" i="1"/>
  <c r="H72" i="1"/>
  <c r="L72" i="1"/>
  <c r="R72" i="1"/>
  <c r="H73" i="1"/>
  <c r="L73" i="1"/>
  <c r="R73" i="1"/>
  <c r="H74" i="1"/>
  <c r="L74" i="1"/>
  <c r="R74" i="1"/>
  <c r="H75" i="1"/>
  <c r="L75" i="1"/>
  <c r="R75" i="1"/>
  <c r="H76" i="1"/>
  <c r="L76" i="1"/>
  <c r="R76" i="1"/>
  <c r="H77" i="1"/>
  <c r="L77" i="1"/>
  <c r="R77" i="1"/>
  <c r="H78" i="1"/>
  <c r="L78" i="1"/>
  <c r="R78" i="1"/>
  <c r="H79" i="1"/>
  <c r="L79" i="1"/>
  <c r="R79" i="1"/>
  <c r="H80" i="1"/>
  <c r="L80" i="1"/>
  <c r="R80" i="1"/>
  <c r="H81" i="1"/>
  <c r="L81" i="1"/>
  <c r="R81" i="1"/>
  <c r="H82" i="1"/>
  <c r="L82" i="1"/>
  <c r="R82" i="1"/>
  <c r="R70" i="1"/>
  <c r="L70" i="1"/>
  <c r="H70" i="1"/>
  <c r="N69" i="1"/>
  <c r="J69" i="1"/>
  <c r="F69" i="1"/>
  <c r="M71" i="1" l="1"/>
  <c r="M75" i="1"/>
  <c r="I78" i="1"/>
  <c r="I74" i="1"/>
  <c r="P79" i="1"/>
  <c r="I72" i="1"/>
  <c r="I76" i="1"/>
  <c r="I80" i="1"/>
  <c r="M73" i="1"/>
  <c r="M77" i="1"/>
  <c r="M81" i="1"/>
  <c r="G69" i="1"/>
  <c r="E82" i="1"/>
  <c r="I82" i="1" s="1"/>
  <c r="S81" i="1"/>
  <c r="P81" i="1" s="1"/>
  <c r="Q81" i="1" s="1"/>
  <c r="M80" i="1"/>
  <c r="S80" i="1"/>
  <c r="P80" i="1" s="1"/>
  <c r="Q80" i="1" s="1"/>
  <c r="S78" i="1"/>
  <c r="P78" i="1" s="1"/>
  <c r="Q78" i="1" s="1"/>
  <c r="S77" i="1"/>
  <c r="P77" i="1" s="1"/>
  <c r="Q77" i="1" s="1"/>
  <c r="S76" i="1"/>
  <c r="P76" i="1" s="1"/>
  <c r="Q76" i="1" s="1"/>
  <c r="M76" i="1"/>
  <c r="S75" i="1"/>
  <c r="P75" i="1" s="1"/>
  <c r="Q75" i="1" s="1"/>
  <c r="S74" i="1"/>
  <c r="P74" i="1" s="1"/>
  <c r="Q74" i="1" s="1"/>
  <c r="M74" i="1"/>
  <c r="S73" i="1"/>
  <c r="P73" i="1" s="1"/>
  <c r="Q73" i="1" s="1"/>
  <c r="S72" i="1"/>
  <c r="P72" i="1" s="1"/>
  <c r="Q72" i="1" s="1"/>
  <c r="I71" i="1"/>
  <c r="S71" i="1"/>
  <c r="P71" i="1" s="1"/>
  <c r="Q71" i="1" s="1"/>
  <c r="E70" i="1"/>
  <c r="I70" i="1" s="1"/>
  <c r="P82" i="1"/>
  <c r="M78" i="1"/>
  <c r="I77" i="1"/>
  <c r="I75" i="1"/>
  <c r="I73" i="1"/>
  <c r="M72" i="1"/>
  <c r="I81" i="1"/>
  <c r="E79" i="1"/>
  <c r="M79" i="1" s="1"/>
  <c r="P70" i="1"/>
  <c r="L69" i="1"/>
  <c r="H69" i="1"/>
  <c r="R69" i="1"/>
  <c r="N11" i="1"/>
  <c r="J11" i="1"/>
  <c r="F11" i="1"/>
  <c r="C17" i="1"/>
  <c r="C16" i="1"/>
  <c r="C15" i="1"/>
  <c r="C14" i="1"/>
  <c r="C13" i="1"/>
  <c r="C12" i="1"/>
  <c r="B17" i="1"/>
  <c r="B16" i="1"/>
  <c r="B15" i="1"/>
  <c r="B14" i="1"/>
  <c r="B13" i="1"/>
  <c r="B12" i="1"/>
  <c r="E13" i="1"/>
  <c r="H13" i="1"/>
  <c r="L13" i="1"/>
  <c r="R13" i="1"/>
  <c r="S13" i="1"/>
  <c r="H14" i="1"/>
  <c r="L14" i="1"/>
  <c r="R14" i="1"/>
  <c r="E15" i="1"/>
  <c r="H15" i="1"/>
  <c r="L15" i="1"/>
  <c r="R15" i="1"/>
  <c r="E16" i="1"/>
  <c r="H16" i="1"/>
  <c r="L16" i="1"/>
  <c r="R16" i="1"/>
  <c r="S16" i="1"/>
  <c r="E17" i="1"/>
  <c r="H17" i="1"/>
  <c r="L17" i="1"/>
  <c r="R17" i="1"/>
  <c r="S17" i="1"/>
  <c r="R12" i="1"/>
  <c r="L12" i="1"/>
  <c r="H12" i="1"/>
  <c r="S12" i="1"/>
  <c r="N8" i="1"/>
  <c r="O8" i="1"/>
  <c r="O5" i="1" s="1"/>
  <c r="O4" i="1" s="1"/>
  <c r="J8" i="1"/>
  <c r="K8" i="1"/>
  <c r="F8" i="1"/>
  <c r="G10" i="1"/>
  <c r="S10" i="1" s="1"/>
  <c r="G9" i="1"/>
  <c r="R10" i="1"/>
  <c r="L10" i="1"/>
  <c r="H10" i="1"/>
  <c r="R9" i="1"/>
  <c r="L9" i="1"/>
  <c r="H9" i="1"/>
  <c r="C10" i="1"/>
  <c r="C9" i="1"/>
  <c r="B10" i="1"/>
  <c r="B9" i="1"/>
  <c r="G7" i="1"/>
  <c r="R7" i="1"/>
  <c r="L7" i="1"/>
  <c r="H7" i="1"/>
  <c r="C7" i="1"/>
  <c r="B7" i="1"/>
  <c r="K5" i="1" l="1"/>
  <c r="K4" i="1" s="1"/>
  <c r="E69" i="1"/>
  <c r="I69" i="1" s="1"/>
  <c r="S69" i="1"/>
  <c r="P69" i="1" s="1"/>
  <c r="S7" i="1"/>
  <c r="P7" i="1" s="1"/>
  <c r="P16" i="1"/>
  <c r="Q16" i="1" s="1"/>
  <c r="L11" i="1"/>
  <c r="L8" i="1"/>
  <c r="R11" i="1"/>
  <c r="R8" i="1"/>
  <c r="H8" i="1"/>
  <c r="M17" i="1"/>
  <c r="I16" i="1"/>
  <c r="M15" i="1"/>
  <c r="G8" i="1"/>
  <c r="G5" i="1" s="1"/>
  <c r="I17" i="1"/>
  <c r="P17" i="1"/>
  <c r="Q17" i="1" s="1"/>
  <c r="P12" i="1"/>
  <c r="M16" i="1"/>
  <c r="P13" i="1"/>
  <c r="Q13" i="1" s="1"/>
  <c r="M82" i="1"/>
  <c r="Q82" i="1"/>
  <c r="Q70" i="1"/>
  <c r="M70" i="1"/>
  <c r="Q79" i="1"/>
  <c r="I79" i="1"/>
  <c r="S9" i="1"/>
  <c r="S15" i="1"/>
  <c r="P15" i="1" s="1"/>
  <c r="Q15" i="1" s="1"/>
  <c r="S14" i="1"/>
  <c r="E14" i="1"/>
  <c r="I14" i="1" s="1"/>
  <c r="I15" i="1"/>
  <c r="M13" i="1"/>
  <c r="I13" i="1"/>
  <c r="H11" i="1"/>
  <c r="E12" i="1"/>
  <c r="P10" i="1"/>
  <c r="E10" i="1"/>
  <c r="I10" i="1" s="1"/>
  <c r="E9" i="1"/>
  <c r="I9" i="1" s="1"/>
  <c r="E7" i="1"/>
  <c r="I7" i="1" s="1"/>
  <c r="E6" i="8"/>
  <c r="R6" i="8"/>
  <c r="L6" i="8"/>
  <c r="H6" i="8"/>
  <c r="Q69" i="1" l="1"/>
  <c r="T69" i="1" s="1"/>
  <c r="S11" i="1"/>
  <c r="E8" i="1"/>
  <c r="I8" i="1" s="1"/>
  <c r="S8" i="1"/>
  <c r="P8" i="1" s="1"/>
  <c r="H5" i="1"/>
  <c r="I6" i="8"/>
  <c r="E11" i="1"/>
  <c r="I11" i="1" s="1"/>
  <c r="M14" i="1"/>
  <c r="P9" i="1"/>
  <c r="Q9" i="1" s="1"/>
  <c r="P14" i="1"/>
  <c r="Q14" i="1" s="1"/>
  <c r="M12" i="1"/>
  <c r="I12" i="1"/>
  <c r="Q12" i="1"/>
  <c r="Q10" i="1"/>
  <c r="M10" i="1"/>
  <c r="M9" i="1"/>
  <c r="Q7" i="1"/>
  <c r="M7" i="1"/>
  <c r="M6" i="8"/>
  <c r="S6" i="8"/>
  <c r="P6" i="8" s="1"/>
  <c r="Q6" i="8" s="1"/>
  <c r="G7" i="7"/>
  <c r="Q8" i="1" l="1"/>
  <c r="T8" i="1" s="1"/>
  <c r="P11" i="1"/>
  <c r="Q11" i="1" s="1"/>
  <c r="T11" i="1" s="1"/>
  <c r="G16" i="7"/>
  <c r="E16" i="7" s="1"/>
  <c r="G15" i="7"/>
  <c r="E15" i="7" s="1"/>
  <c r="G14" i="7"/>
  <c r="E14" i="7" s="1"/>
  <c r="G13" i="7"/>
  <c r="E13" i="7" s="1"/>
  <c r="G12" i="7"/>
  <c r="E12" i="7" s="1"/>
  <c r="G11" i="7"/>
  <c r="E11" i="7" s="1"/>
  <c r="G10" i="7"/>
  <c r="S10" i="7" s="1"/>
  <c r="H15" i="7"/>
  <c r="L15" i="7"/>
  <c r="R15" i="7"/>
  <c r="H16" i="7"/>
  <c r="L16" i="7"/>
  <c r="R16" i="7"/>
  <c r="H11" i="7"/>
  <c r="L11" i="7"/>
  <c r="R11" i="7"/>
  <c r="H12" i="7"/>
  <c r="L12" i="7"/>
  <c r="R12" i="7"/>
  <c r="H13" i="7"/>
  <c r="L13" i="7"/>
  <c r="R13" i="7"/>
  <c r="H14" i="7"/>
  <c r="L14" i="7"/>
  <c r="R14" i="7"/>
  <c r="R10" i="7"/>
  <c r="L10" i="7"/>
  <c r="H10" i="7"/>
  <c r="B16" i="7"/>
  <c r="B15" i="7"/>
  <c r="B14" i="7"/>
  <c r="B13" i="7"/>
  <c r="B12" i="7"/>
  <c r="B11" i="7"/>
  <c r="B10" i="7"/>
  <c r="O8" i="7"/>
  <c r="N8" i="7"/>
  <c r="L8" i="7" l="1"/>
  <c r="M16" i="7"/>
  <c r="M12" i="7"/>
  <c r="G8" i="7"/>
  <c r="H8" i="7"/>
  <c r="I14" i="7"/>
  <c r="I16" i="7"/>
  <c r="S16" i="7"/>
  <c r="P16" i="7" s="1"/>
  <c r="Q16" i="7" s="1"/>
  <c r="M15" i="7"/>
  <c r="I15" i="7"/>
  <c r="S15" i="7"/>
  <c r="P15" i="7" s="1"/>
  <c r="Q15" i="7" s="1"/>
  <c r="S14" i="7"/>
  <c r="P14" i="7" s="1"/>
  <c r="Q14" i="7" s="1"/>
  <c r="M14" i="7"/>
  <c r="I13" i="7"/>
  <c r="M13" i="7"/>
  <c r="S13" i="7"/>
  <c r="P13" i="7" s="1"/>
  <c r="Q13" i="7" s="1"/>
  <c r="I12" i="7"/>
  <c r="S12" i="7"/>
  <c r="P12" i="7" s="1"/>
  <c r="Q12" i="7" s="1"/>
  <c r="M11" i="7"/>
  <c r="I11" i="7"/>
  <c r="S11" i="7"/>
  <c r="P11" i="7" s="1"/>
  <c r="Q11" i="7" s="1"/>
  <c r="P10" i="7"/>
  <c r="E10" i="7"/>
  <c r="M10" i="7" s="1"/>
  <c r="R8" i="7"/>
  <c r="E8" i="7" l="1"/>
  <c r="M8" i="7" s="1"/>
  <c r="I10" i="7"/>
  <c r="S8" i="7"/>
  <c r="Q10" i="7"/>
  <c r="I8" i="7" l="1"/>
  <c r="P8" i="7"/>
  <c r="Q8" i="7" s="1"/>
  <c r="G6" i="7" l="1"/>
  <c r="G5" i="7" s="1"/>
  <c r="C7" i="7"/>
  <c r="B7" i="7"/>
  <c r="R7" i="7"/>
  <c r="L7" i="7"/>
  <c r="H7" i="7"/>
  <c r="O6" i="7"/>
  <c r="O5" i="7" s="1"/>
  <c r="O4" i="7" s="1"/>
  <c r="N6" i="7"/>
  <c r="N5" i="7" s="1"/>
  <c r="K6" i="7"/>
  <c r="K5" i="7" s="1"/>
  <c r="J6" i="7"/>
  <c r="F6" i="7"/>
  <c r="K4" i="7" l="1"/>
  <c r="H5" i="7"/>
  <c r="L5" i="7"/>
  <c r="R6" i="7"/>
  <c r="F5" i="7"/>
  <c r="E5" i="7" s="1"/>
  <c r="G4" i="7"/>
  <c r="E6" i="7"/>
  <c r="L6" i="7"/>
  <c r="S7" i="7"/>
  <c r="P7" i="7" s="1"/>
  <c r="E7" i="7"/>
  <c r="I7" i="7" s="1"/>
  <c r="S6" i="7"/>
  <c r="P6" i="7" s="1"/>
  <c r="I5" i="7" l="1"/>
  <c r="Q6" i="7"/>
  <c r="I6" i="7"/>
  <c r="M6" i="7"/>
  <c r="M7" i="7"/>
  <c r="Q7" i="7"/>
  <c r="N4" i="8" l="1"/>
  <c r="E5" i="8" l="1"/>
  <c r="F4" i="8"/>
  <c r="J4" i="8"/>
  <c r="H4" i="8" s="1"/>
  <c r="S5" i="8"/>
  <c r="L4" i="8"/>
  <c r="L5" i="8"/>
  <c r="H5" i="8"/>
  <c r="R4" i="8" l="1"/>
  <c r="M5" i="8"/>
  <c r="R5" i="8"/>
  <c r="S4" i="8"/>
  <c r="I5" i="8"/>
  <c r="P5" i="8"/>
  <c r="Q5" i="8" s="1"/>
  <c r="E4" i="8"/>
  <c r="P4" i="8" l="1"/>
  <c r="Q4" i="8" s="1"/>
  <c r="I4" i="8"/>
  <c r="M4" i="8"/>
  <c r="T4" i="8" l="1"/>
  <c r="N4" i="7" l="1"/>
  <c r="H4" i="7" l="1"/>
  <c r="R5" i="7"/>
  <c r="R4" i="7" l="1"/>
  <c r="E4" i="7" l="1"/>
  <c r="I4" i="7" s="1"/>
  <c r="H4" i="1" l="1"/>
  <c r="R4" i="1"/>
  <c r="S5" i="7" l="1"/>
  <c r="P5" i="7" l="1"/>
  <c r="Q5" i="7" s="1"/>
  <c r="M5" i="7"/>
  <c r="S4" i="7"/>
  <c r="L4" i="7"/>
  <c r="M4" i="7" s="1"/>
  <c r="P4" i="7" l="1"/>
  <c r="Q4" i="7" s="1"/>
  <c r="T4" i="7" s="1"/>
  <c r="L128" i="1" l="1"/>
  <c r="L5" i="1" l="1"/>
  <c r="L4" i="1" l="1"/>
  <c r="E128" i="1"/>
  <c r="I128" i="1" s="1"/>
  <c r="S128" i="1"/>
  <c r="P128" i="1" s="1"/>
  <c r="Q128" i="1" s="1"/>
  <c r="S5" i="1"/>
  <c r="P5" i="1" s="1"/>
  <c r="T128" i="1" l="1"/>
  <c r="E5" i="1"/>
  <c r="I5" i="1" s="1"/>
  <c r="M5" i="1" l="1"/>
  <c r="Q5" i="1"/>
  <c r="T5" i="1" s="1"/>
  <c r="G251" i="1" l="1"/>
  <c r="S251" i="1" l="1"/>
  <c r="P251" i="1" s="1"/>
  <c r="G250" i="1"/>
  <c r="E251" i="1"/>
  <c r="I251" i="1" l="1"/>
  <c r="M251" i="1"/>
  <c r="E250" i="1"/>
  <c r="I250" i="1" s="1"/>
  <c r="S250" i="1"/>
  <c r="P250" i="1" s="1"/>
  <c r="Q251" i="1"/>
  <c r="Q250" i="1" l="1"/>
  <c r="H200" i="1" l="1"/>
  <c r="I200" i="1" s="1"/>
  <c r="H199" i="1"/>
  <c r="I199" i="1" s="1"/>
  <c r="S200" i="1"/>
  <c r="P200" i="1" s="1"/>
  <c r="Q200" i="1" s="1"/>
  <c r="S199" i="1" l="1"/>
  <c r="P199" i="1" s="1"/>
  <c r="Q199" i="1" s="1"/>
  <c r="G248" i="1"/>
  <c r="E248" i="1" l="1"/>
  <c r="S248" i="1"/>
  <c r="P248" i="1" s="1"/>
  <c r="Q248" i="1" s="1"/>
  <c r="G245" i="1"/>
  <c r="S245" i="1" l="1"/>
  <c r="P245" i="1" s="1"/>
  <c r="E245" i="1"/>
  <c r="I245" i="1" s="1"/>
  <c r="G226" i="1"/>
  <c r="G4" i="1" s="1"/>
  <c r="I248" i="1"/>
  <c r="M248" i="1"/>
  <c r="E226" i="1" l="1"/>
  <c r="S226" i="1"/>
  <c r="P226" i="1" s="1"/>
  <c r="Q226" i="1" s="1"/>
  <c r="Q245" i="1"/>
  <c r="I226" i="1" l="1"/>
  <c r="T226" i="1" s="1"/>
  <c r="M226" i="1"/>
  <c r="E4" i="1"/>
  <c r="S4" i="1"/>
  <c r="P4" i="1" l="1"/>
  <c r="Q4" i="1" s="1"/>
  <c r="I4" i="1"/>
  <c r="M4" i="1"/>
  <c r="T4" i="1" l="1"/>
</calcChain>
</file>

<file path=xl/sharedStrings.xml><?xml version="1.0" encoding="utf-8"?>
<sst xmlns="http://schemas.openxmlformats.org/spreadsheetml/2006/main" count="553" uniqueCount="113">
  <si>
    <t>รายการ</t>
  </si>
  <si>
    <t>วันที่อนุมัติ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</si>
  <si>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</si>
  <si>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</si>
  <si>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</si>
  <si>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</si>
  <si>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%</t>
  </si>
  <si>
    <t>เบิกจ่าย</t>
  </si>
  <si>
    <t>ผูกพัน</t>
  </si>
  <si>
    <t>คงเหลือ</t>
  </si>
  <si>
    <t>สำนักชลประทานที่ 2</t>
  </si>
  <si>
    <t>ผู้จัดทำ  นางวรรณภา  สุขกระโทก</t>
  </si>
  <si>
    <t>โทร.054217186 ต่อ 223</t>
  </si>
  <si>
    <t>FAX 054230122</t>
  </si>
  <si>
    <t>e-mail: wannapa_suk@hotmail.co.th</t>
  </si>
  <si>
    <t>สำนักชลงานประทานที่ 2</t>
  </si>
  <si>
    <t>ผลผลิตที่ ค่าใช้จ่ายตามโครงการอันเนื่องมาจากรพระราชดำริ (40010)</t>
  </si>
  <si>
    <t>รหัส</t>
  </si>
  <si>
    <t>งบประมาณ</t>
  </si>
  <si>
    <t>ซ่อมแซมสำนักงานชลประทานที่ 2</t>
  </si>
  <si>
    <t>14 มิย.59</t>
  </si>
  <si>
    <t>โครงการชลประทานพะเยา</t>
  </si>
  <si>
    <t>2 สค.59</t>
  </si>
  <si>
    <t>19 สค.59</t>
  </si>
  <si>
    <t>ค่าใช้จ่ายเสริมสร้างความเข้มแข็งและก้าวหน้าของประเทศตามแนวทางปฎิรูปเพื่อดำเนินการโครงการแข้ไขปัญหาภัยแล้งและอุทกภัย(ครั้งที่ 1)  (16040)</t>
  </si>
  <si>
    <t>25 สค.59</t>
  </si>
  <si>
    <t>21 กย.59</t>
  </si>
  <si>
    <t>แผนงานสนับสนุนมาตรการกระตุ้นการลงทุนขนาดเล็กของรัฐบาลทั่วประเทศ (73016)</t>
  </si>
  <si>
    <t>ศูนย์ต้นทุน 0700300712 แบบไม่มีหนี้</t>
  </si>
  <si>
    <t>ศูนย์ต้นทุน 0700300712 แบบมีหนี้</t>
  </si>
  <si>
    <t>12 ตค.59</t>
  </si>
  <si>
    <t>ปรับปรุงลำปาง</t>
  </si>
  <si>
    <t>ซ่อมแซมลำปาง</t>
  </si>
  <si>
    <t>13 ตค.59</t>
  </si>
  <si>
    <t>ซ่อมแซม สชป.2</t>
  </si>
  <si>
    <t>9 มีค.59</t>
  </si>
  <si>
    <t>ผลผลิตที่ การจัดการน้ำและสนับสนุนโครงการอันเนื่องมาจากพระราชดำริ (38006)</t>
  </si>
  <si>
    <t>โครงการป้องกันและบรรเทาภัยจากน้ำ (41029)</t>
  </si>
  <si>
    <t>17 ตค.59</t>
  </si>
  <si>
    <t>ซ่อมแซม น่าน</t>
  </si>
  <si>
    <t>ซ่อมแซม พะเยา</t>
  </si>
  <si>
    <t>ซ่อมแซม เชียงราย</t>
  </si>
  <si>
    <t>โครงการปรับปรุงงานชลประทาน  (41027)</t>
  </si>
  <si>
    <t>ปรับปรุงเชียงราย</t>
  </si>
  <si>
    <t>โครงการจัดหาแหล่งน้ำและเพิ่มพื้นที่ชลประทาน  (41028)</t>
  </si>
  <si>
    <t>ผลผลิตที่ โครงการจัดหาแล่งน้ำและเพิ่มพื้นที่ชลประทาน</t>
  </si>
  <si>
    <t>สำนักชลงานประทานที่ 2 ศูนย์ต้นทุน  00712</t>
  </si>
  <si>
    <t>18 ตค.59</t>
  </si>
  <si>
    <t>ปรับปรุงเขื่อนแม่สรวย</t>
  </si>
  <si>
    <t>19 ตค.59</t>
  </si>
  <si>
    <t>ปรับปรุงน่าน</t>
  </si>
  <si>
    <t>ปรับปรุงพะเยา</t>
  </si>
  <si>
    <t>20 ตค.59</t>
  </si>
  <si>
    <t>ค่าศึกษา สำรวจ ออกแบบ</t>
  </si>
  <si>
    <t>21 ตค.59</t>
  </si>
  <si>
    <t>25 ตค.59</t>
  </si>
  <si>
    <t>ค่าสำรวจธรณีและปฐพีวิทยา</t>
  </si>
  <si>
    <t>งานก่อสร้าง</t>
  </si>
  <si>
    <t>ค่าสำรวจแผนที่ภูมิประเทศ</t>
  </si>
  <si>
    <t>ค่าใช้จ่ายในการบริหารงานจัดหาที่ดินจัดซื้อที่ดิน</t>
  </si>
  <si>
    <t>ค่าใช้จ่ายในการบริหารงานจัดหาที่ดินจัดซื้อที่ดิน(ฝ่ายจัดหาที่ดิน 2)</t>
  </si>
  <si>
    <t>26 ตค.59</t>
  </si>
  <si>
    <t>ค่ารังวัดและออกหนังสือสำคัญที่หลวง</t>
  </si>
  <si>
    <t>31 ตค.59</t>
  </si>
  <si>
    <t>โครงการจังหวัดเชียงราย</t>
  </si>
  <si>
    <t>31ตค.59</t>
  </si>
  <si>
    <t>โครงการจังหวัดน่าน</t>
  </si>
  <si>
    <t>โครงการจังหวัดลำปาง</t>
  </si>
  <si>
    <t>โครงการจังหวัดพะเยา</t>
  </si>
  <si>
    <t>1 พย.59</t>
  </si>
  <si>
    <t>2 พย.59</t>
  </si>
  <si>
    <t>2พย.59</t>
  </si>
  <si>
    <t>3 พย.59</t>
  </si>
  <si>
    <t>โอนกลับรอแก้ไขชื่องาน</t>
  </si>
  <si>
    <t>8 พย.59</t>
  </si>
  <si>
    <t>9 พย.59</t>
  </si>
  <si>
    <t>11พย.59</t>
  </si>
  <si>
    <t>11 พย.59</t>
  </si>
  <si>
    <t>10 พย.59</t>
  </si>
  <si>
    <t>15 พย.59</t>
  </si>
  <si>
    <t>ค่าควบคุมงานปรับปรุงเขื่อนแม่สรวย</t>
  </si>
  <si>
    <t>17 พย.59</t>
  </si>
  <si>
    <t>21พย.59</t>
  </si>
  <si>
    <t>โอนเบิกคลังเชียงราย</t>
  </si>
  <si>
    <t>ค่าดำเนินการออกแบบ</t>
  </si>
  <si>
    <t>24 พย.59</t>
  </si>
  <si>
    <t>ค่าจัดทำแผนที่ภาพถ่ายหรือแผนที่ภาพจากดาวเทียม(ระยะที่9)</t>
  </si>
  <si>
    <t>8 ธค.59</t>
  </si>
  <si>
    <t>ติดตั้งเครื่องมือพฤติกรรมเขื่อน</t>
  </si>
  <si>
    <t>6 มค.60</t>
  </si>
  <si>
    <t>9 มค.60</t>
  </si>
  <si>
    <t>ค่าควบคุมงานจ้างเหมา จ.ลำปาง</t>
  </si>
  <si>
    <t>13 มค.60</t>
  </si>
  <si>
    <t>19 มค.60</t>
  </si>
  <si>
    <t>โครงการอ่างเก็บน้ำน้ำปี้ จ.พะเยา  (41031)</t>
  </si>
  <si>
    <t>24 มค.60</t>
  </si>
  <si>
    <t>ผูกพันเป็นเงินกันมรดก</t>
  </si>
  <si>
    <t>17กพ.60</t>
  </si>
  <si>
    <t>1 กพ.60</t>
  </si>
  <si>
    <t>สถานีสูบน้ำด้วยไฟฟ้า</t>
  </si>
  <si>
    <t>27กพ.60</t>
  </si>
  <si>
    <t>8 มีค.60</t>
  </si>
  <si>
    <t xml:space="preserve">สำนักชลงานประทานที่ 2 </t>
  </si>
  <si>
    <t>โครงการอ่างเก็บน้ำห้วยแม่เฟืองพร้อมอาคารประกอบ อ.แม่เมาะ จ.ลำปาง</t>
  </si>
  <si>
    <t>21 มีค.60</t>
  </si>
  <si>
    <t>27เมย.60</t>
  </si>
  <si>
    <t>โครงการอันเนื่องมาจากพระราชดำริ (01014)</t>
  </si>
  <si>
    <t>29 พค.60</t>
  </si>
  <si>
    <t>รายงานผลการเบิกจ่าย เงินงบประมาณ 2560  สำนักงานชลประทานที่ 2  ข้อมูลถึงณ วันที่ 7  มิถุนายน 2560</t>
  </si>
  <si>
    <t>รายงานผลการเบิกจ่าย งบกลาง  ปีงบประมาณ 2559   สำนักงานชลประทานที่ 2  ข้อมูลถึงณ วันที่ 7  มิถุนายน 2560</t>
  </si>
  <si>
    <t>รายงานผลการเบิกจ่าย งบกลาง  ปีงบประมาณ 2559   สำนักงานชลประทานที่ 2  ข้อมูลถึงณ วันที่ 7  มิถุนายน  2560</t>
  </si>
  <si>
    <t>รายงานผลการเบิกจ่าย   ปีงบประมาณ 2560  สำนักงานชลประทานที่ 2 ศูนย์ต้นทุน  00712   ข้อมูลถึงณ วันที่ 7  มิถุนายน 2560</t>
  </si>
  <si>
    <t>รายงานผลการเบิกจ่าย   ปีงบประมาณ 2560  สำนักงานชลประทานที่ 2 ศูนย์ต้นทุน  0700300037    ข้อมูลถึงณ วันที่ 7 มิถุนายน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</si>
</sst>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u/>
      <sz val="16"/>
      <color theme="1"/>
      <name val="Angsana New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sz val="15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3" fontId="3" fillId="2" borderId="11" xfId="0" applyNumberFormat="1" applyFont="1" applyFill="1" applyBorder="1"/>
    <xf numFmtId="0" fontId="3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 wrapText="1"/>
    </xf>
    <xf numFmtId="43" fontId="3" fillId="0" borderId="7" xfId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3" fontId="3" fillId="0" borderId="10" xfId="1" applyFont="1" applyBorder="1" applyAlignment="1">
      <alignment vertical="top" wrapText="1"/>
    </xf>
    <xf numFmtId="0" fontId="3" fillId="4" borderId="5" xfId="0" applyFont="1" applyFill="1" applyBorder="1" applyAlignment="1">
      <alignment horizontal="center"/>
    </xf>
    <xf numFmtId="43" fontId="3" fillId="4" borderId="5" xfId="0" applyNumberFormat="1" applyFont="1" applyFill="1" applyBorder="1"/>
    <xf numFmtId="0" fontId="3" fillId="3" borderId="5" xfId="0" applyFont="1" applyFill="1" applyBorder="1" applyAlignment="1">
      <alignment horizontal="center"/>
    </xf>
    <xf numFmtId="43" fontId="3" fillId="3" borderId="5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5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3" fontId="3" fillId="2" borderId="5" xfId="0" applyNumberFormat="1" applyFont="1" applyFill="1" applyBorder="1"/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43" fontId="8" fillId="4" borderId="5" xfId="0" applyNumberFormat="1" applyFont="1" applyFill="1" applyBorder="1"/>
    <xf numFmtId="0" fontId="8" fillId="0" borderId="0" xfId="0" applyFont="1"/>
    <xf numFmtId="0" fontId="5" fillId="0" borderId="5" xfId="0" applyFont="1" applyBorder="1" applyAlignment="1">
      <alignment wrapText="1"/>
    </xf>
    <xf numFmtId="0" fontId="9" fillId="0" borderId="0" xfId="0" applyFont="1" applyAlignment="1"/>
    <xf numFmtId="0" fontId="9" fillId="0" borderId="0" xfId="0" applyFont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9" xfId="1" applyFont="1" applyBorder="1" applyAlignment="1">
      <alignment vertical="top" wrapText="1"/>
    </xf>
    <xf numFmtId="43" fontId="3" fillId="2" borderId="0" xfId="0" applyNumberFormat="1" applyFont="1" applyFill="1" applyBorder="1"/>
    <xf numFmtId="43" fontId="3" fillId="4" borderId="7" xfId="0" applyNumberFormat="1" applyFont="1" applyFill="1" applyBorder="1"/>
    <xf numFmtId="0" fontId="3" fillId="5" borderId="11" xfId="0" applyFont="1" applyFill="1" applyBorder="1" applyAlignment="1">
      <alignment horizontal="center"/>
    </xf>
    <xf numFmtId="43" fontId="3" fillId="5" borderId="11" xfId="0" applyNumberFormat="1" applyFont="1" applyFill="1" applyBorder="1"/>
    <xf numFmtId="0" fontId="3" fillId="6" borderId="5" xfId="0" applyFont="1" applyFill="1" applyBorder="1" applyAlignment="1">
      <alignment wrapText="1"/>
    </xf>
    <xf numFmtId="43" fontId="3" fillId="6" borderId="5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43" fontId="3" fillId="7" borderId="10" xfId="1" applyFont="1" applyFill="1" applyBorder="1" applyAlignment="1">
      <alignment wrapText="1"/>
    </xf>
    <xf numFmtId="43" fontId="3" fillId="7" borderId="10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wrapText="1"/>
    </xf>
    <xf numFmtId="43" fontId="3" fillId="0" borderId="5" xfId="1" applyFont="1" applyBorder="1" applyAlignment="1">
      <alignment horizontal="center" vertical="center"/>
    </xf>
    <xf numFmtId="0" fontId="3" fillId="7" borderId="5" xfId="0" applyFont="1" applyFill="1" applyBorder="1" applyAlignment="1">
      <alignment wrapText="1"/>
    </xf>
    <xf numFmtId="43" fontId="3" fillId="7" borderId="5" xfId="1" applyFont="1" applyFill="1" applyBorder="1" applyAlignment="1">
      <alignment wrapText="1"/>
    </xf>
    <xf numFmtId="43" fontId="3" fillId="7" borderId="5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3" fontId="3" fillId="6" borderId="5" xfId="1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3" fontId="3" fillId="0" borderId="10" xfId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top" wrapText="1"/>
    </xf>
    <xf numFmtId="0" fontId="7" fillId="0" borderId="0" xfId="0" applyFont="1"/>
    <xf numFmtId="43" fontId="7" fillId="0" borderId="0" xfId="1" applyFont="1"/>
    <xf numFmtId="43" fontId="10" fillId="0" borderId="0" xfId="1" applyFont="1"/>
    <xf numFmtId="43" fontId="7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8" borderId="5" xfId="0" applyFont="1" applyFill="1" applyBorder="1" applyAlignment="1">
      <alignment wrapText="1"/>
    </xf>
    <xf numFmtId="0" fontId="3" fillId="8" borderId="5" xfId="0" applyFont="1" applyFill="1" applyBorder="1" applyAlignment="1">
      <alignment horizontal="center" wrapText="1"/>
    </xf>
    <xf numFmtId="43" fontId="3" fillId="8" borderId="5" xfId="1" applyFont="1" applyFill="1" applyBorder="1" applyAlignment="1">
      <alignment wrapText="1"/>
    </xf>
    <xf numFmtId="43" fontId="3" fillId="8" borderId="5" xfId="0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61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27;&#3617;&#3623;&#3604;%206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%202%205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%202%205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2%205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3%205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4%205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24;&#3638;&#3585;&#3625;&#3634;%20&#3626;&#3635;&#3619;&#3623;&#3592;%20&#3629;&#3629;&#3585;&#3649;&#3610;&#361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19;&#3633;&#3591;&#3623;&#3633;&#3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0;&#3619;&#3636;&#3627;&#3634;&#3619;&#3592;&#3633;&#3604;&#3585;&#3634;&#3619;&#3609;&#3657;&#3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592;&#3633;&#3604;&#3607;&#3635;&#3649;&#3612;&#3609;&#3607;&#3637;&#3656;&#3616;&#3634;&#3614;&#3606;&#3656;&#3634;&#3618;&#3604;&#3634;&#3623;&#3648;&#3607;&#3637;&#3618;&#361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6;&#3640;&#3604;&#3621;&#3629;&#3585;&#3629;&#3656;&#3634;&#3591;&#3648;&#3585;&#3655;&#3610;&#3609;&#3657;&#3635;&#3592;&#3657;&#3634;&#3591;&#3648;&#3627;&#3617;&#3634;&#3629;&#3656;&#3634;&#3591;&#3648;&#3585;&#3655;&#3610;&#3609;&#3657;&#3635;&#3649;&#3617;&#3656;&#3652;&#3614;&#3619;%20&#3588;&#3656;&#3634;&#3588;&#3623;&#3610;&#3588;&#3640;&#3617;&#3591;&#3634;&#360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48;&#3594;&#3637;&#3618;&#3591;&#3619;&#3634;&#361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21;&#3635;&#3611;&#3634;&#359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09;&#3656;&#3634;&#360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14;&#3632;&#3648;&#3618;&#363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5;&#3656;&#3629;&#3626;&#3619;&#3657;&#3634;&#359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08;&#3619;&#3603;&#3637;&#3649;&#3621;&#3632;&#3611;&#3600;&#3614;&#363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49;&#3612;&#3609;&#3607;&#3637;&#3656;&#3616;&#3641;&#3617;&#3636;&#3611;&#3619;&#3632;&#3648;&#3607;&#362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0;&#3619;&#3636;&#3627;&#3634;&#3619;&#3607;&#3637;&#3656;&#3604;&#3636;&#360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1;&#3619;&#3633;&#3610;&#3611;&#3619;&#3640;&#3591;&#3621;&#3635;&#3611;&#3634;&#3591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48;&#3594;&#3637;&#3618;&#3591;&#3619;&#3634;&#361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09;&#3656;&#3634;&#360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21;&#3635;&#3611;&#3634;&#359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14;&#3632;&#3648;&#3618;&#3634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26;&#3606;&#3634;&#3609;&#3637;&#3626;&#3641;&#3610;&#3609;&#3657;&#3635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21;&#3635;&#3611;&#3634;&#35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%20&#3588;&#3656;&#3634;&#3588;&#3623;&#3610;&#3588;&#3640;&#3617;&#3591;&#3634;&#3609;&#3631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94;&#3637;&#3618;&#3591;&#3619;&#3634;&#361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05;&#3636;&#3604;&#3605;&#3633;&#3657;&#3591;&#3614;&#3620;&#3605;&#3636;&#3585;&#3619;&#3619;&#3617;&#3648;&#3586;&#3639;&#3656;&#3629;&#36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4103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&#3588;&#3656;&#3634;&#3619;&#3633;&#3591;&#3623;&#3633;&#3604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01014\&#3650;&#3588;&#3619;&#3591;&#3585;&#3634;&#3619;&#3619;&#3634;&#3594;&#3604;&#3635;&#3619;&#3636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40010%20&#3591;&#3610;&#3585;&#3621;&#3634;&#3591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49;&#3610;&#3610;&#3652;&#3617;&#3656;&#3617;&#3637;&#3627;&#3609;&#3637;&#3657;%20&#3626;&#3594;&#3611;.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73016%20&#3591;&#3610;&#3585;&#3621;&#3634;&#359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22001\&#3611;&#3619;&#3633;&#3610;&#3611;&#3619;&#3640;&#3591;&#3648;&#3586;&#3639;&#3656;&#3629;&#3609;&#3649;&#3617;&#3656;&#3626;&#3619;&#3623;&#3618;%20&#3648;&#3594;&#3637;&#3618;&#3591;&#3619;&#3634;&#3618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50;&#3604;&#3618;&#3585;&#3619;&#3617;&#3610;&#3633;&#3597;&#3594;&#3637;&#3585;&#3621;&#3634;&#3591;%20&#3611;&#3637;%205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41028%20&#3611;&#3637;%206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&#3624;&#3641;&#3609;&#3618;&#3660;&#3605;&#3657;&#3609;&#3607;&#3640;&#3609;%207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1%205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&#3648;&#3591;&#3636;&#3609;&#3585;&#3633;&#3609;&#3649;&#3610;&#3610;&#3652;&#3617;&#3656;&#3617;&#3637;&#3627;&#3609;&#3637;&#36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2%205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3%205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4%205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%20&#3626;&#3594;&#3611;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ซ่อมใหญ่เครื่องจักรเครื่องมือด้านบำรุงรักษาสำนักงานชลประทานที่ 2 จ.ลำปาง</v>
          </cell>
          <cell r="I5" t="str">
            <v>0700338006110007</v>
          </cell>
          <cell r="J5">
            <v>454000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ซ่อมแซมถังพักน้ำฝายห้วยจำม่อนก๋องข้าวโครงการขยายผลโครงการหลวงน้ำแขว่ง จ.น่าน</v>
          </cell>
          <cell r="I5" t="str">
            <v>0700338006410FD7</v>
          </cell>
          <cell r="J5">
            <v>74000</v>
          </cell>
        </row>
        <row r="6">
          <cell r="E6" t="str">
            <v>ซ่อมแซมรางริน LMC อ่างเก็บน้ำน้ำและจำนวน 1 สาย จ.น่าน</v>
          </cell>
          <cell r="I6" t="str">
            <v>0700338006410FN5</v>
          </cell>
          <cell r="J6">
            <v>45000</v>
          </cell>
        </row>
        <row r="7">
          <cell r="E7" t="str">
            <v>ซ่อมแซมระบบส่งน้ำและหัวงานอ่างเก็บน้ำห้วยหวะ (พรด.) จ.น่าน</v>
          </cell>
          <cell r="I7" t="str">
            <v>0700338006410FN6</v>
          </cell>
          <cell r="J7">
            <v>53000</v>
          </cell>
        </row>
        <row r="8">
          <cell r="E8" t="str">
            <v>ซ่อมแซม Gate Valve และ Control room อ่างเก็บน้ำน้ำพงษ์ จ.น่าน</v>
          </cell>
          <cell r="I8" t="str">
            <v>0700338006410FD8</v>
          </cell>
          <cell r="J8">
            <v>8000</v>
          </cell>
        </row>
        <row r="9">
          <cell r="E9" t="str">
            <v>ซ่อมแซมรางริน 1R-RMC อ่างเก็บน้ำน้ำปอน จำนวน 1 สาย จ.น่าน</v>
          </cell>
          <cell r="I9" t="str">
            <v>0700338006410FD9</v>
          </cell>
          <cell r="J9">
            <v>45000</v>
          </cell>
        </row>
        <row r="10">
          <cell r="E10" t="str">
            <v>ซ่อมแซมระบบส่งน้ำและหัวงานอ่างเก็บน้ำต้วน (พรด.)จ.น่าน</v>
          </cell>
          <cell r="I10" t="str">
            <v>0700338006410FN7</v>
          </cell>
          <cell r="J10">
            <v>49000</v>
          </cell>
        </row>
        <row r="11">
          <cell r="E11" t="str">
            <v>ซ่อมแซม Gate Valve และ Control room อ่างห้วยลากปืน จ.น่าน</v>
          </cell>
          <cell r="I11" t="str">
            <v>0700338006410FE0</v>
          </cell>
          <cell r="J11">
            <v>15000</v>
          </cell>
        </row>
        <row r="12">
          <cell r="E12" t="str">
            <v>ซ่อมแซมรางรินฝายปางปุกจำนวน 1 สาย จ.น่าน</v>
          </cell>
          <cell r="I12" t="str">
            <v>0700338006410FE1</v>
          </cell>
          <cell r="J12">
            <v>45000</v>
          </cell>
        </row>
        <row r="13">
          <cell r="E13" t="str">
            <v>ซ่อมแซมบำรุงรักษาระบบท่อส่งน้ำและถังพักน้ำโครงการพัฒนาบ้านกอก-บ้านจูน (พรด.) จ.น่าน</v>
          </cell>
          <cell r="I13" t="str">
            <v>0700338006410FE2</v>
          </cell>
          <cell r="J13">
            <v>23000</v>
          </cell>
        </row>
        <row r="14">
          <cell r="E14" t="str">
            <v>ซ่อมแซมรางริน 2R-LMC อ่างเก็บน้ำน้ำเลียบ จำนวน 1 สาย จ.น่าน</v>
          </cell>
          <cell r="I14" t="str">
            <v>0700338006410FN8</v>
          </cell>
          <cell r="J14">
            <v>45000</v>
          </cell>
        </row>
        <row r="15">
          <cell r="E15" t="str">
            <v>ซ่อมแซม Gate Valve และ Control room อ่างห้วยขอนแก่น 2 จ.น่าน</v>
          </cell>
          <cell r="I15" t="str">
            <v>0700338006410FN9</v>
          </cell>
          <cell r="J15">
            <v>15000</v>
          </cell>
        </row>
        <row r="16">
          <cell r="E16" t="str">
            <v>ซ่อมแซมบำรุงรักษาระบบท่อส่งน้ำโครงการพัฒนาเกษตรที่สูงบ้านสบขุ่น จ.น่าน</v>
          </cell>
          <cell r="I16" t="str">
            <v>0700338006410FO0</v>
          </cell>
          <cell r="J16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ซ่อมแซมระบบส่งน้ำบ้านห้วยสะแตงโครงการชลประทานน่าน ต.งอบ อ.ทุ่งช้าง จ.น่าน</v>
          </cell>
          <cell r="I5" t="str">
            <v>0700338006410514</v>
          </cell>
          <cell r="J5">
            <v>70000</v>
          </cell>
        </row>
        <row r="6">
          <cell r="E6" t="str">
    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    </cell>
          <cell r="I6" t="str">
            <v>0700338006410515</v>
          </cell>
          <cell r="J6">
            <v>45500</v>
          </cell>
        </row>
        <row r="7">
          <cell r="E7" t="str">
            <v>ซ่อมแซมรางริน LMC ฝายน้ำเลียง โครงการชลประทานน่าน  ต.ปอน อ.ทุ่งช้าง จ.น่าน</v>
          </cell>
          <cell r="I7" t="str">
            <v>0700338006410516</v>
          </cell>
          <cell r="J7">
            <v>45000</v>
          </cell>
        </row>
        <row r="8">
          <cell r="E8" t="str">
            <v>ซ่อมแซมทางระบายน้ำล้นอ่างเก็บน้ำน้ำพงษ์(ขนาดกลาง)  จ.น่าน</v>
          </cell>
          <cell r="I8" t="str">
            <v>0700338006410513</v>
          </cell>
          <cell r="J8">
            <v>220000</v>
          </cell>
        </row>
        <row r="9">
          <cell r="E9" t="str">
            <v>ซ่อมแซมถนนเข้าหัวงานฝายสมุน(ขนาดกลาง) โครงการชลประทานน่าน จ.น่าน</v>
          </cell>
          <cell r="I9" t="str">
            <v>0700338006410251</v>
          </cell>
          <cell r="J9">
            <v>15000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ซ่อมแซมคลองส่งน้ำสายฝายทุ่งต้นแฟน อ่างเก็บน้ำห้วยไฟ จ.พะเยา</v>
          </cell>
          <cell r="I5" t="str">
            <v>0700338006410FO2</v>
          </cell>
          <cell r="J5">
            <v>37700</v>
          </cell>
        </row>
        <row r="6">
          <cell r="E6" t="str">
            <v>ซ่อมแซมคลองส่งน้ำรางรินอ่างเก็บน้ำห้วยสา จ.พะเยา</v>
          </cell>
          <cell r="I6" t="str">
            <v>0700338006410FE3</v>
          </cell>
          <cell r="J6">
            <v>23600</v>
          </cell>
        </row>
        <row r="7">
          <cell r="E7" t="str">
            <v>ซ่อมแซมคลองส่งน้ำพร้อมปตร.สายฝายทุ่งตี๊ด หล่ายหน้า อ่างเก็บน้ำห้วยไฟ จ.พะเยา</v>
          </cell>
          <cell r="I7" t="str">
            <v>0700338006410FO3</v>
          </cell>
          <cell r="J7">
            <v>34800</v>
          </cell>
        </row>
        <row r="8">
          <cell r="E8" t="str">
            <v>ซ่อมแซมคลองส่งน้ำสายทุ่งลุ่ม อ่างเก็บน้ำห้วยยัด จ.พะเยา</v>
          </cell>
          <cell r="I8" t="str">
            <v>0700338006410FO4</v>
          </cell>
          <cell r="J8">
            <v>26600</v>
          </cell>
        </row>
        <row r="9">
          <cell r="E9" t="str">
            <v>ซ่อมแซมคอนกรีตดาดคลองส่งน้ำฝั่งซ้ายปลายคลอง กม.5+000-กม.6+850 อ่างเก็บน้ำน้ำจุน จ.พะเยา</v>
          </cell>
          <cell r="I9" t="str">
            <v>0700338006410FE4</v>
          </cell>
          <cell r="J9">
            <v>43600</v>
          </cell>
        </row>
        <row r="10">
          <cell r="E10" t="str">
            <v>ซ่อมแซมคอนกรีตดาดคลองส่งน้ำสาย 1R-LMC อ่างเก็บน้ำห้วยเคียน จ.พะเยา</v>
          </cell>
          <cell r="I10" t="str">
            <v>0700338006410FO5</v>
          </cell>
          <cell r="J10">
            <v>43000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ซ่อมแซมอุปกรณ์บังคับน้ำอ่างเก็บน้ำแม่ปืม โครงการชลประทานพะเยา ต.บ้านเหล่า อ.แม่ใจ จ.พะเยา</v>
          </cell>
          <cell r="I5" t="str">
            <v>0700338006410518</v>
          </cell>
          <cell r="J5">
            <v>38400</v>
          </cell>
        </row>
        <row r="6">
          <cell r="E6" t="str">
            <v>ซ่อมแซมสายเหมืองโค้ง อ่างเก็บน้ำห้วยตุ่น โครงการชลประทานพะเยา ต.บ้านตุ่น อ.แม่ใจ จ.พะเยา</v>
          </cell>
          <cell r="I6" t="str">
            <v>0700338006410519</v>
          </cell>
          <cell r="J6">
            <v>41800</v>
          </cell>
        </row>
        <row r="7">
          <cell r="E7" t="str">
            <v>ซ่อมแซมหินคลุกอ่างเก็บน้ำห้วยบง โครงการชลประทานพะเยา จ.พะเยา</v>
          </cell>
          <cell r="I7" t="str">
            <v>0700338006410520</v>
          </cell>
          <cell r="J7">
            <v>43600</v>
          </cell>
        </row>
        <row r="8">
          <cell r="E8" t="str">
    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    </cell>
          <cell r="I8" t="str">
            <v>0700338006410255</v>
          </cell>
          <cell r="J8">
            <v>43400</v>
          </cell>
        </row>
        <row r="9">
          <cell r="E9" t="str">
    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    </cell>
          <cell r="I9" t="str">
            <v>0700338006410256</v>
          </cell>
          <cell r="J9">
            <v>26600</v>
          </cell>
        </row>
        <row r="10">
          <cell r="E10" t="str">
    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    </cell>
          <cell r="I10" t="str">
            <v>0700338006410257</v>
          </cell>
          <cell r="J10">
            <v>36600</v>
          </cell>
        </row>
        <row r="11">
          <cell r="E11" t="str">
            <v>ซ่อมแซมคลองส่งน้ำสาย 1R-RMC อ่างเก็บน้ำแม่ปืม โครงการชลประทานพะเยา ต.บ้านเหล่า อ.แม่ใจ จ.พะเยา</v>
          </cell>
          <cell r="I11" t="str">
            <v>0700338006410258</v>
          </cell>
          <cell r="J11">
            <v>41800</v>
          </cell>
        </row>
        <row r="12">
          <cell r="E12" t="str">
    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    </cell>
          <cell r="I12" t="str">
            <v>0700338006410259</v>
          </cell>
          <cell r="J12">
            <v>43400</v>
          </cell>
        </row>
        <row r="13">
          <cell r="E13" t="str">
    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    </cell>
          <cell r="I13" t="str">
            <v>0700338006410522</v>
          </cell>
          <cell r="J13">
            <v>13260</v>
          </cell>
        </row>
        <row r="14">
          <cell r="E14" t="str">
    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    </cell>
          <cell r="I14" t="str">
            <v>0700338006410260</v>
          </cell>
          <cell r="J14">
            <v>31000</v>
          </cell>
        </row>
        <row r="15">
          <cell r="E15" t="str">
    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    </cell>
          <cell r="I15" t="str">
            <v>0700338006410261</v>
          </cell>
          <cell r="J15">
            <v>43600</v>
          </cell>
        </row>
        <row r="16">
          <cell r="E16" t="str">
            <v>ซ่อมแซมท้ายทางระบายน้ำล้น อ่างเก็บน้ำหัวนา โครงการชลประทานพะเยา ต.ทุ่งกล้วย อ.ภูซาง จ.พะเยา</v>
          </cell>
          <cell r="I16" t="str">
            <v>0700338006410262</v>
          </cell>
          <cell r="J16">
            <v>26600</v>
          </cell>
        </row>
        <row r="17">
          <cell r="E17" t="str">
    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    </cell>
          <cell r="I17" t="str">
            <v>0700338006410263</v>
          </cell>
          <cell r="J17">
            <v>21900</v>
          </cell>
        </row>
        <row r="18">
          <cell r="E18" t="str">
            <v>ซ่อมแซมดาดคอนกรีตคลองส่งน้ำสาย RMC ฝายวังจัน โครงการชลประทานพะเยา ต.ขุนควร อ.ปง จ.พะเยา</v>
          </cell>
          <cell r="I18" t="str">
            <v>0700338006410264</v>
          </cell>
          <cell r="J18">
            <v>43600</v>
          </cell>
        </row>
        <row r="19">
          <cell r="E19" t="str">
    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    </cell>
          <cell r="I19" t="str">
            <v>0700338006410265</v>
          </cell>
          <cell r="J19">
            <v>8800</v>
          </cell>
        </row>
        <row r="20">
          <cell r="E20" t="str">
    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    </cell>
          <cell r="I20" t="str">
            <v>0700338006410612</v>
          </cell>
          <cell r="J20">
            <v>79800</v>
          </cell>
        </row>
        <row r="21">
          <cell r="E21" t="str">
    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    </cell>
          <cell r="I21" t="str">
            <v>0700338006410292</v>
          </cell>
          <cell r="J21">
            <v>39900</v>
          </cell>
        </row>
        <row r="22">
          <cell r="E22" t="str">
            <v>ซ่อมแซมตลิ่งท้ายฝายแก่เสาร์โครงการชลประทานพะเยา จ.พะเยา</v>
          </cell>
          <cell r="I22" t="str">
            <v>0700338006410252</v>
          </cell>
          <cell r="J22">
            <v>108193</v>
          </cell>
        </row>
        <row r="23">
          <cell r="E23" t="str">
            <v>ซ่อมแซมคอนกรีตดาดคลองส่งน้ำสายLMCกม.3+500กม.5+000อ่างเก็บน้ำน้ำจุน จ.พะเยา</v>
          </cell>
          <cell r="I23" t="str">
            <v>0700338006410253</v>
          </cell>
          <cell r="J23">
            <v>43600</v>
          </cell>
        </row>
        <row r="24">
          <cell r="E24" t="str">
            <v>ซ่อมแซมคลองส่งน้ำสายทุ่งก๊อต กม.0+000กม.0+800อ่างเก็บน้ำหัวนา จ.พะเยา</v>
          </cell>
          <cell r="I24" t="str">
            <v>0700338006410254</v>
          </cell>
          <cell r="J24">
            <v>28800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ซ่อมแซมระบบส่งน้ำฝายวังเคียน กม.6+000+ กม.7+000 จ.เชียงราย</v>
          </cell>
          <cell r="I5" t="str">
            <v>0700338006410FE6</v>
          </cell>
          <cell r="J5">
            <v>0</v>
          </cell>
        </row>
        <row r="6">
          <cell r="E6" t="str">
    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    </cell>
          <cell r="I6" t="str">
            <v>0700338006410FE7</v>
          </cell>
          <cell r="J6">
            <v>0</v>
          </cell>
        </row>
        <row r="7">
          <cell r="E7" t="str">
            <v>งานซ่อมแซมคลองส่งน้ำฝั่งขวา ระหว่าง กม.0+000+1+500 อ่างเก็บน้ำห้วยตาควน จ.เชียงราย</v>
          </cell>
          <cell r="I7" t="str">
            <v>0700338006410FE8</v>
          </cell>
          <cell r="J7">
            <v>0</v>
          </cell>
        </row>
        <row r="8">
          <cell r="E8" t="str">
            <v>ซ่อมแซมระบบท่อส่งน้ำ อ่างเก็บน้ำห้วยต้นยาง จ.เชียงราย</v>
          </cell>
          <cell r="I8" t="str">
            <v>0700338006410FO6</v>
          </cell>
          <cell r="J8">
            <v>0</v>
          </cell>
        </row>
        <row r="9">
          <cell r="E9" t="str">
            <v>ซ่อมแซมระบบส่งน้ำฝายห้วยแล้ง จ.เชียงราย</v>
          </cell>
          <cell r="I9" t="str">
            <v>0700338006410FE9</v>
          </cell>
          <cell r="J9">
            <v>0</v>
          </cell>
        </row>
        <row r="10">
          <cell r="E10" t="str">
            <v>ซ่อมแซมคอนกรีตดาดคลองส่งน้ำฝั่งขวาอ่างเก็บน้ำห้วยสัก จ.เชียงราย</v>
          </cell>
          <cell r="I10" t="str">
            <v>0700338006410FF0</v>
          </cell>
          <cell r="J10">
            <v>0</v>
          </cell>
        </row>
        <row r="11">
          <cell r="E11" t="str">
            <v>ซ่อมแซมอาคารท่อลอดคลองส่งน้ำอ่างเก็บน้ำห้วยหลวง กม.1+000+กม.2+000 จ.เชีบงราย</v>
          </cell>
          <cell r="I11" t="str">
            <v>0700338006410FO7</v>
          </cell>
          <cell r="J11">
            <v>0</v>
          </cell>
        </row>
        <row r="12">
          <cell r="E12" t="str">
            <v>ซ่อมแซมคอนกรีตดาดคลองส่งน้ำอ่างเก็บน้ำห้วยหลวง กม.1+800-กม.3+000 จ.เชียงราย</v>
          </cell>
          <cell r="I12" t="str">
            <v>0700338006410FF1</v>
          </cell>
          <cell r="J1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    </cell>
          <cell r="I5" t="str">
            <v>0700338006410523</v>
          </cell>
          <cell r="J5">
            <v>0</v>
          </cell>
        </row>
        <row r="6">
          <cell r="E6" t="str">
    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6" t="str">
            <v>0700338006410524</v>
          </cell>
          <cell r="J6">
            <v>0</v>
          </cell>
        </row>
        <row r="7">
          <cell r="E7" t="str">
    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    </cell>
          <cell r="I7" t="str">
            <v>0700338006410267</v>
          </cell>
          <cell r="J7">
            <v>0</v>
          </cell>
        </row>
        <row r="8">
          <cell r="E8" t="str">
    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    </cell>
          <cell r="I8" t="str">
            <v>0700338006410268</v>
          </cell>
          <cell r="J8">
            <v>0</v>
          </cell>
        </row>
        <row r="9">
          <cell r="E9" t="str">
            <v>ซ่อมแซมอ่างเก็บน้ำน้ำคำโครงการชลประทานเชียงราย ต.แม่เงิน อ.เชียงแสน จ.เชียงราย</v>
          </cell>
          <cell r="I9" t="str">
            <v>0700338006410269</v>
          </cell>
          <cell r="J9">
            <v>0</v>
          </cell>
        </row>
        <row r="10">
          <cell r="E10" t="str">
            <v>ซ่อมแซมบ้านพักระดับ 8 โครงการชลประทานเชียงราย ต.เวียง อ.เมืองเชียงราย จ.เชียงราย</v>
          </cell>
          <cell r="I10" t="str">
            <v>0700338006410270</v>
          </cell>
          <cell r="J10">
            <v>0</v>
          </cell>
        </row>
        <row r="11">
          <cell r="E11" t="str">
    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1" t="str">
            <v>0700338006410271</v>
          </cell>
          <cell r="J11">
            <v>0</v>
          </cell>
        </row>
        <row r="12">
          <cell r="E12" t="str">
    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    </cell>
          <cell r="I12" t="str">
            <v>0700338006410272</v>
          </cell>
          <cell r="J12">
            <v>0</v>
          </cell>
        </row>
        <row r="13">
          <cell r="E13" t="str">
    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    </cell>
          <cell r="I13" t="str">
            <v>0700338006410273</v>
          </cell>
          <cell r="J13">
            <v>0</v>
          </cell>
        </row>
        <row r="14">
          <cell r="E14" t="str">
    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    </cell>
          <cell r="I14" t="str">
            <v>0700338006410274</v>
          </cell>
          <cell r="J14">
            <v>0</v>
          </cell>
        </row>
        <row r="15">
          <cell r="E15" t="str">
            <v>ซ่อมแซมคลองส่งน้ำ 1L-RMC ฝายถ้ำวอก กม.3+000-กม.6+470 โครงการชลประทานเชียงราย ต.บัวสลี อ.แม่ลาว จ.เชียงราย</v>
          </cell>
          <cell r="I15" t="str">
            <v>0700338006410275</v>
          </cell>
          <cell r="J15">
            <v>0</v>
          </cell>
        </row>
        <row r="16">
          <cell r="E16" t="str">
            <v>ซ่อมแซมรางระบายน้ำโครงการชลประทานเชียงราย ต.รอบเวียง อ.เมืองเชียงราย จ.เชียงราย</v>
          </cell>
          <cell r="I16" t="str">
            <v>0700338006410588</v>
          </cell>
          <cell r="J16">
            <v>0</v>
          </cell>
        </row>
        <row r="17">
          <cell r="E17" t="str">
            <v>ซ่อมแซมอาคารสลายพลังงานท้ายฝายทุ่งหลวง โครงการชลประทานเชียงราย ต.ตับเต่า อ.เทิง จ.เชียงราย</v>
          </cell>
          <cell r="I17" t="str">
            <v>0700338006410276</v>
          </cell>
          <cell r="J17">
            <v>0</v>
          </cell>
        </row>
        <row r="18">
          <cell r="E18" t="str">
    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    </cell>
          <cell r="I18" t="str">
            <v>0700338006410277</v>
          </cell>
          <cell r="J18">
            <v>0</v>
          </cell>
        </row>
        <row r="19">
          <cell r="E19" t="str">
    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    </cell>
          <cell r="I19" t="str">
            <v>0700338006410278</v>
          </cell>
          <cell r="J19">
            <v>0</v>
          </cell>
        </row>
        <row r="20">
          <cell r="E20" t="str">
    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    </cell>
          <cell r="I20" t="str">
            <v>0700338006410279</v>
          </cell>
          <cell r="J20">
            <v>0</v>
          </cell>
        </row>
        <row r="21">
          <cell r="E21" t="str">
    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21" t="str">
            <v>0700338006410280</v>
          </cell>
          <cell r="J21">
            <v>0</v>
          </cell>
        </row>
        <row r="22">
          <cell r="E22" t="str">
    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    </cell>
          <cell r="I22" t="str">
            <v>0700338006410281</v>
          </cell>
          <cell r="J22">
            <v>0</v>
          </cell>
        </row>
        <row r="23">
          <cell r="E23" t="str">
            <v>ซ่อมแซมฝายต้นเขืองโครงการชลประทานเชียงราย ต.ตับเต่า อ.เทิง จ.เชียงราย</v>
          </cell>
          <cell r="I23" t="str">
            <v>0700338006410282</v>
          </cell>
          <cell r="J23">
            <v>0</v>
          </cell>
        </row>
        <row r="24">
          <cell r="E24" t="str">
    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    </cell>
          <cell r="I24" t="str">
            <v>0700338006410283</v>
          </cell>
          <cell r="J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5" t="str">
            <v>0700338006410590</v>
          </cell>
          <cell r="J5">
            <v>0</v>
          </cell>
        </row>
        <row r="6">
          <cell r="E6" t="str">
    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    </cell>
          <cell r="I6" t="str">
            <v>0700338006410591</v>
          </cell>
          <cell r="J6">
            <v>0</v>
          </cell>
        </row>
        <row r="7">
          <cell r="E7" t="str">
            <v>ซ่อมแซมคลองส่งน้ำสาย Kกม.0+000-กม.2+500 โครงการชลประทานเชียงราย ต.เวียงเหนือ อ.เวียงชัย จ.เชียงราย</v>
          </cell>
          <cell r="I7" t="str">
            <v>0700338006410592</v>
          </cell>
          <cell r="J7">
            <v>0</v>
          </cell>
        </row>
        <row r="8">
          <cell r="E8" t="str">
    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    </cell>
          <cell r="I8" t="str">
            <v>0700338006410593</v>
          </cell>
          <cell r="J8">
            <v>0</v>
          </cell>
        </row>
        <row r="9">
          <cell r="E9" t="str">
            <v>ซ่อมแซมรั้ว โครงการชลประทานเชียงราย ต.รอบเวียง อ.เมืองเชียงราย จ.เชียงราย</v>
          </cell>
          <cell r="I9" t="str">
            <v>0700338006410594</v>
          </cell>
          <cell r="J9">
            <v>0</v>
          </cell>
        </row>
        <row r="10">
          <cell r="E10" t="str">
    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0" t="str">
            <v>0700338006410595</v>
          </cell>
          <cell r="J10">
            <v>0</v>
          </cell>
        </row>
        <row r="11">
          <cell r="E11" t="str">
    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    </cell>
          <cell r="I11" t="str">
            <v>0700338006410596</v>
          </cell>
          <cell r="J11">
            <v>0</v>
          </cell>
        </row>
        <row r="12">
          <cell r="E12" t="str">
    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    </cell>
          <cell r="I12" t="str">
            <v>0700338006410597</v>
          </cell>
          <cell r="J12">
            <v>0</v>
          </cell>
        </row>
        <row r="13">
          <cell r="E13" t="str">
    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    </cell>
          <cell r="I13" t="str">
            <v>0700338006410598</v>
          </cell>
          <cell r="J13">
            <v>0</v>
          </cell>
        </row>
        <row r="14">
          <cell r="E14" t="str">
            <v>ซ่อมแซมห้องประชุมโครงการชลประทานเชียงราย ต.รอบเวียง อ.เมืองเชียงราย จ.เชียงราย</v>
          </cell>
          <cell r="I14" t="str">
            <v>0700338006410284</v>
          </cell>
          <cell r="J14">
            <v>0</v>
          </cell>
        </row>
        <row r="15">
          <cell r="E15" t="str">
    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    </cell>
          <cell r="I15" t="str">
            <v>0700338006410285</v>
          </cell>
          <cell r="J15">
            <v>0</v>
          </cell>
        </row>
        <row r="16">
          <cell r="E16" t="str">
    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    </cell>
          <cell r="I16" t="str">
            <v>0700338006410600</v>
          </cell>
          <cell r="J16">
            <v>0</v>
          </cell>
        </row>
        <row r="17">
          <cell r="E17" t="str">
    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    </cell>
          <cell r="I17" t="str">
            <v>0700338006410601</v>
          </cell>
          <cell r="J17">
            <v>0</v>
          </cell>
        </row>
        <row r="18">
          <cell r="E18" t="str">
            <v>ซ่อมแซมบ้านพักคนงาน ฝ่ายช่างกล โครงการชลประทานเชียงราย ต.ห้วยสัก อ.เมืองเชียงราย จ.เชียงราย</v>
          </cell>
          <cell r="I18" t="str">
            <v>0700338006410602</v>
          </cell>
          <cell r="J18">
            <v>0</v>
          </cell>
        </row>
        <row r="19">
          <cell r="E19" t="str">
            <v>ซ่อมแซมลาดไหล่เขาถนนโครงการส่งน้ำและบำรุงรักษาแม่ลาว ต.ดงมะดะ อ.แม่ลาว จ.เชียงราย</v>
          </cell>
          <cell r="I19" t="str">
            <v>0700338006410610</v>
          </cell>
          <cell r="J19">
            <v>61500</v>
          </cell>
        </row>
        <row r="20">
          <cell r="E20" t="str">
    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    </cell>
          <cell r="I20" t="str">
            <v>0700338006410611</v>
          </cell>
          <cell r="J20">
            <v>39000</v>
          </cell>
        </row>
        <row r="21">
          <cell r="E21" t="str">
    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    </cell>
          <cell r="I21" t="str">
            <v>0700338006410290</v>
          </cell>
          <cell r="J21">
            <v>53100</v>
          </cell>
        </row>
        <row r="22">
          <cell r="E22" t="str">
    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    </cell>
          <cell r="I22" t="str">
            <v>0700338006410613</v>
          </cell>
          <cell r="J22">
            <v>64000</v>
          </cell>
        </row>
        <row r="23">
          <cell r="E23" t="str">
    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    </cell>
          <cell r="I23" t="str">
            <v>0700338006410291</v>
          </cell>
          <cell r="J23">
            <v>45000</v>
          </cell>
        </row>
        <row r="24">
          <cell r="E24" t="str">
    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    </cell>
          <cell r="I24" t="str">
            <v>0700338006410614</v>
          </cell>
          <cell r="J24">
            <v>39900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    </cell>
          <cell r="I5" t="str">
            <v>0700338006410615</v>
          </cell>
          <cell r="J5">
            <v>27000</v>
          </cell>
        </row>
        <row r="6">
          <cell r="E6" t="str">
            <v>ซ่อมแซมคลังน้ำมันโครงการส่งน้ำและบำรุงรักษาแม่ลาว ต.ดงมะดะ อ.แม่ลาว จ.เชียงราย</v>
          </cell>
          <cell r="I6" t="str">
            <v>0700338006410293</v>
          </cell>
          <cell r="J6">
            <v>30000</v>
          </cell>
        </row>
        <row r="7">
          <cell r="E7" t="str">
            <v>ซ่อมแซมฝายท้าวแก่นจันทร์โครงการส่งน้ำและบำรุงรักษาแม่ลาว จ.เชียงราย</v>
          </cell>
          <cell r="I7" t="str">
            <v>0700338006420010</v>
          </cell>
          <cell r="J7">
            <v>360900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ค่าศึกษา</v>
          </cell>
          <cell r="I5" t="str">
            <v>0700338006410035</v>
          </cell>
          <cell r="J5">
            <v>2225000</v>
          </cell>
        </row>
        <row r="6">
          <cell r="E6" t="str">
            <v>ค่าสำรวจ</v>
          </cell>
          <cell r="I6" t="str">
            <v>0700338006410035</v>
          </cell>
          <cell r="J6">
            <v>3034400</v>
          </cell>
        </row>
        <row r="7">
          <cell r="I7" t="str">
            <v>0700338006410035</v>
          </cell>
          <cell r="J7">
            <v>2535000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โครงการระบบส่งน้ำอ่างเก็บน้ำดอยงู จ.เชียงราย (งานปักหลักเขตชลประทาน)</v>
          </cell>
          <cell r="I5" t="str">
            <v>0700338006200011</v>
          </cell>
          <cell r="J5">
            <v>365000</v>
          </cell>
        </row>
        <row r="6">
          <cell r="E6" t="str">
            <v>โครงการชลประทานลำปาง(อ่างเก็บน้ำแม่พริกผาวิ่งชู้ จ.ลำปาง (งานซ่อมเขตชลประทาน)</v>
          </cell>
          <cell r="I6" t="str">
            <v>0700338006200011</v>
          </cell>
          <cell r="J6">
            <v>440000</v>
          </cell>
        </row>
        <row r="7">
          <cell r="E7" t="str">
    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    </cell>
          <cell r="I7" t="str">
            <v>0700338006200011</v>
          </cell>
          <cell r="J7">
            <v>208200</v>
          </cell>
        </row>
        <row r="8">
          <cell r="E8" t="str">
            <v>โครงการชลประทานเชียงราย(ฝายถ้ำวอก,อ่างฯห้วยช้างและอ่างฯห้วยปล้อง (งานซ่อมเขตชลประทาน)</v>
          </cell>
          <cell r="I8" t="str">
            <v>0700338006200011</v>
          </cell>
          <cell r="J8">
            <v>630000</v>
          </cell>
        </row>
        <row r="9">
          <cell r="E9" t="str">
            <v>โครงการส่งน้ำและบำรุงรักษาแม่วัง (งานซ่อมเขตชลประทาน)</v>
          </cell>
          <cell r="I9" t="str">
            <v>0700338006200011</v>
          </cell>
          <cell r="J9">
            <v>828000</v>
          </cell>
        </row>
        <row r="10">
          <cell r="E10" t="str">
            <v>โครงการอ่างเก็บน้ำแม่อางอันเนื่องมาจากพระราชดำริ (งานปักหลักเขตชลประทาน)</v>
          </cell>
          <cell r="J10">
            <v>320000</v>
          </cell>
        </row>
        <row r="11">
          <cell r="E11" t="str">
            <v>โครงการประตูน้ำน้ำอิงบ้านร่องวิว จ.เชียงราย(งานปักหลักเขตชลประทาน)</v>
          </cell>
          <cell r="I11" t="str">
            <v>0700338006200011</v>
          </cell>
          <cell r="J11">
            <v>19600</v>
          </cell>
        </row>
        <row r="12">
          <cell r="E12" t="str">
            <v>โครงการชลประทานน่าน(อ่างเก็บน้ำน้ำแหง)(งานซ่อมเขตชลประทาน)</v>
          </cell>
          <cell r="I12" t="str">
            <v>0700338006200011</v>
          </cell>
          <cell r="J12">
            <v>1100000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บริหารจัดการน้ำ สำนักงานชลประทานที่ 2 อ.เมือง จ.ลำปาง</v>
          </cell>
          <cell r="I5" t="str">
            <v>0700338006410V92</v>
          </cell>
          <cell r="J5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ประตูระบายน้ำและอาคารประกอบบ้านดอยอิสาน อ.จุน จ.เชียงราย</v>
          </cell>
          <cell r="I5" t="str">
            <v>0700338006420008</v>
          </cell>
          <cell r="J5">
            <v>316440</v>
          </cell>
        </row>
        <row r="6">
          <cell r="E6" t="str">
            <v>ประตูระบายน้ำน้ำอิงบ้านร่องวิว อ.เทิง จ.เชียงราย</v>
          </cell>
          <cell r="I6" t="str">
            <v>0700338006420008</v>
          </cell>
          <cell r="J6">
            <v>224000</v>
          </cell>
        </row>
        <row r="7">
          <cell r="E7" t="str">
            <v>ประตูระบายน้ำบ้านแก่นเจริญ อ.เชียงของ จ.เชียงราย</v>
          </cell>
          <cell r="I7" t="str">
            <v>0700338006420008</v>
          </cell>
          <cell r="J7">
            <v>296000</v>
          </cell>
        </row>
        <row r="8">
          <cell r="E8" t="str">
            <v>โครงการเพิ่มศักยภาพการกักเก็บน้ำของอ่างเก็บน้ำน้ำฮิ จ.น่าน</v>
          </cell>
          <cell r="I8" t="str">
            <v>0700338006420008</v>
          </cell>
          <cell r="J8">
            <v>140640</v>
          </cell>
        </row>
        <row r="9">
          <cell r="E9" t="str">
            <v>โครงการเพิ่มศักยภาพการกักเก็บน้ำของอ่างเก็บน้ำแม่ต๋ำ จ.พะเยา</v>
          </cell>
          <cell r="I9" t="str">
            <v>0700338006420008</v>
          </cell>
          <cell r="J9">
            <v>281280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    </cell>
          <cell r="I5" t="str">
            <v>0700338006410EM2</v>
          </cell>
          <cell r="J5">
            <v>10090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    </cell>
          <cell r="I5" t="str">
            <v>0700341027410096</v>
          </cell>
          <cell r="J5">
            <v>99500</v>
          </cell>
        </row>
        <row r="6">
          <cell r="E6" t="str">
            <v>ปรับปรุงระบบส่งน้ำฝั่งขวาฝายชัยสมบัติระยะที่ 1 โครงการชลประทานเชียงราย จ.เชียงราย</v>
          </cell>
          <cell r="I6" t="str">
            <v>0700341027410011</v>
          </cell>
          <cell r="J6">
            <v>0</v>
          </cell>
        </row>
        <row r="7">
          <cell r="E7" t="str">
            <v>ปรับปรุงฝายห้วยยางงามพร้อมระบบส่งน้ำ โครงการชลประทานเชียงราย จ.เชียงราย</v>
          </cell>
          <cell r="I7" t="str">
            <v>0700341027420006</v>
          </cell>
          <cell r="J7">
            <v>0</v>
          </cell>
        </row>
        <row r="8">
          <cell r="E8" t="str">
            <v>ปรับปรุงคลองซอย 3L-RMC ระยะที่ 2 โครงการส่งน้ำและบำรุงรักษาแม่ลาว จ.เชียงราย</v>
          </cell>
          <cell r="I8" t="str">
            <v>0700341027410095</v>
          </cell>
          <cell r="J8">
            <v>311500</v>
          </cell>
        </row>
        <row r="9">
          <cell r="E9" t="str">
            <v>ปรับปรุงคันคลอง RMC ระยะที่ 2โครงการส่งน้ำและบำรุงแม่ลาว จ.เชียงราย</v>
          </cell>
          <cell r="I9" t="str">
            <v>0700341027420080</v>
          </cell>
          <cell r="J9">
            <v>78000</v>
          </cell>
        </row>
        <row r="10">
          <cell r="E10" t="str">
            <v>ปรับปรุงคันคลอง RMC ระยะที่ 1โครงการส่งน้ำและบำรุงแม่ลาว จ.เชียงราย</v>
          </cell>
          <cell r="I10" t="str">
            <v>0700341027420079</v>
          </cell>
          <cell r="J10">
            <v>108000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    </cell>
          <cell r="I5" t="str">
            <v>0700341027410010</v>
          </cell>
          <cell r="J5">
            <v>243600</v>
          </cell>
        </row>
        <row r="6">
          <cell r="E6" t="str">
    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    </cell>
          <cell r="I6" t="str">
            <v>0700341027410011</v>
          </cell>
          <cell r="J6">
            <v>269100</v>
          </cell>
        </row>
        <row r="7">
          <cell r="E7" t="str">
            <v>ปรับปรุงระบบส่งน้ำอ่างเก็บน้ำห้วยสมัย โครงการชลประทานลำปาง จ.ลำปาง</v>
          </cell>
          <cell r="I7" t="str">
            <v>0700341027410012</v>
          </cell>
          <cell r="J7">
            <v>220000</v>
          </cell>
        </row>
        <row r="8">
          <cell r="E8" t="str">
    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    </cell>
          <cell r="I8" t="str">
            <v>0700341027410192</v>
          </cell>
          <cell r="J8">
            <v>123000</v>
          </cell>
        </row>
        <row r="9">
          <cell r="E9" t="str">
            <v>ปรับปรุงระบบส่งน้ำฝายแม่ก๋งลูกที่ 2 โครงการส่งน้ำและบำรุงรักษาแม่วัง จ.ลำปาง</v>
          </cell>
          <cell r="I9" t="str">
            <v>0700341027420003</v>
          </cell>
          <cell r="J9">
            <v>359800</v>
          </cell>
        </row>
        <row r="10">
          <cell r="E10" t="str">
            <v>ปรับปรุงฝายลูกที่ 6 ห้วยแม่ปูนพร้อมอาคารประกอบโครงการส่งน้ำและบำรุงรักษาแม่วัง จ.ลำปาง</v>
          </cell>
          <cell r="I10" t="str">
            <v>0700341027420004</v>
          </cell>
          <cell r="J10">
            <v>555600</v>
          </cell>
        </row>
        <row r="11">
          <cell r="E11" t="str">
            <v>ปรับปรุงระบบส่งน้ำฝายระยะที่ 2 โครงการชลประทานลำปาง จ.ลำปาง</v>
          </cell>
          <cell r="I11" t="str">
            <v>0700341027420104</v>
          </cell>
          <cell r="J11">
            <v>340000</v>
          </cell>
        </row>
        <row r="12">
          <cell r="E12" t="str">
            <v>ปรับปรุงระบบส่งน้ำอ่างเก็บน้ำแม่ทก(ฝายวังต้นคำ) โครงการชลประทานลำปาง จ.ลำปาง</v>
          </cell>
          <cell r="I12" t="str">
            <v>0700341027420105</v>
          </cell>
          <cell r="J12">
            <v>220000</v>
          </cell>
        </row>
        <row r="13">
          <cell r="E13" t="str">
            <v>ปรับปรุงคลองซอย 18.3L-RMC กิ่วลมโครงการส่งน้ำและบำรุงรักษากิ่วลม-กิ่วคอหมา จ.ลำปาง</v>
          </cell>
          <cell r="I13" t="str">
            <v>0700341027420081</v>
          </cell>
          <cell r="J13">
            <v>470000</v>
          </cell>
        </row>
        <row r="14">
          <cell r="E14" t="str">
    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    </cell>
          <cell r="I14" t="str">
            <v>0700341027410206</v>
          </cell>
          <cell r="J14">
            <v>132000</v>
          </cell>
        </row>
        <row r="15">
          <cell r="E15" t="str">
    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    </cell>
          <cell r="I15" t="str">
            <v>0700341027420201</v>
          </cell>
          <cell r="J15">
            <v>471000</v>
          </cell>
        </row>
        <row r="16">
          <cell r="E16" t="str">
    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    </cell>
          <cell r="I16" t="str">
            <v>0700341027420202</v>
          </cell>
          <cell r="J16">
            <v>550000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 2 L-LMC ฝายสาและอาคารประกอบโครงการชลประทานน่าน</v>
          </cell>
          <cell r="I5" t="str">
            <v>0700341027420102</v>
          </cell>
          <cell r="J5">
            <v>536000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    </cell>
          <cell r="I5" t="str">
            <v>0700341027420005</v>
          </cell>
          <cell r="J5">
            <v>484700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ฝายนาวัวพร้อมระบบส่งน้ำ อ.ปัว จ.น่าน</v>
          </cell>
          <cell r="I5" t="str">
            <v>0700341028420223</v>
          </cell>
          <cell r="J5">
            <v>491000</v>
          </cell>
        </row>
        <row r="6">
          <cell r="E6" t="str">
            <v>ฝายน้ำสางพร้อมระบบส่งน้ำ อ.บ่อเกลือ จ.น่าน</v>
          </cell>
          <cell r="I6" t="str">
            <v>0700341028420158</v>
          </cell>
          <cell r="J6">
            <v>473000</v>
          </cell>
        </row>
        <row r="7">
          <cell r="E7" t="str">
            <v>ฝายห้วยโป่ง อ.เวียงแก่น จ.เชียงราย</v>
          </cell>
          <cell r="I7" t="str">
            <v>0700341028410044</v>
          </cell>
          <cell r="J7">
            <v>0</v>
          </cell>
        </row>
        <row r="8">
          <cell r="E8" t="str">
            <v>อ่างเก็บน้ำแม่อางพร้อมระบบส่งน้ำ อ.แม่ทะ จ.ลำปาง</v>
          </cell>
          <cell r="I8" t="str">
            <v>0700341028420124</v>
          </cell>
          <cell r="J8">
            <v>518000</v>
          </cell>
        </row>
        <row r="9">
          <cell r="E9" t="str">
            <v>ฝายมะโอพร้อมระบบส่งน้ำ อ.เทิง จ.เชียงราย</v>
          </cell>
          <cell r="I9" t="str">
            <v>0700341028420189</v>
          </cell>
          <cell r="J9">
            <v>489700</v>
          </cell>
        </row>
        <row r="10">
          <cell r="E10" t="str">
            <v>อ่างเก็บน้ำห้วยแก่น อ.จุน จ.พะเยา</v>
          </cell>
          <cell r="I10" t="str">
            <v>0700341028420222</v>
          </cell>
          <cell r="J10">
            <v>547300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    </cell>
          <cell r="I5" t="str">
            <v>0700341028420106</v>
          </cell>
          <cell r="J5">
            <v>2753000</v>
          </cell>
        </row>
        <row r="6">
          <cell r="E6" t="str">
    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    </cell>
          <cell r="I6" t="str">
            <v>0700341028420106</v>
          </cell>
          <cell r="J6">
            <v>1446000</v>
          </cell>
        </row>
        <row r="7">
          <cell r="E7" t="str">
    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    </cell>
          <cell r="I7" t="str">
            <v>0700341028420106</v>
          </cell>
          <cell r="J7">
            <v>831400</v>
          </cell>
        </row>
        <row r="8">
          <cell r="E8" t="str">
            <v>ค่าสำรวจธรณีและปฐพีวิทยาอ่างเก็บน้ำอ่างเก็บน้ำห้วยบ้าน อ.แม่สรวย จ.เชียงราย</v>
          </cell>
          <cell r="I8" t="str">
            <v>0700341028420106</v>
          </cell>
          <cell r="J8">
            <v>932500</v>
          </cell>
        </row>
        <row r="9">
          <cell r="E9" t="str">
            <v>ค่าสำรวจธรณีและปฐพีวิทยาอ่างเก็บน้ำอ่างเก็บน้ำห้วยแม่พริก อ.เสริมงาม จ.ลำปาง</v>
          </cell>
          <cell r="I9" t="str">
            <v>0700341028420106</v>
          </cell>
          <cell r="J9">
            <v>915800</v>
          </cell>
        </row>
        <row r="10">
          <cell r="E10" t="str">
    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    </cell>
          <cell r="I10" t="str">
            <v>0700341028420106</v>
          </cell>
          <cell r="J10">
            <v>335200</v>
          </cell>
        </row>
        <row r="11">
          <cell r="E11" t="str">
            <v>ค่าสำรวจธรณีและปฐพีวิทยาปรับปรุงทำนบดินอ่างฯห้วยขานอันเนื่องมาจากพระราชดำริ จ.พะเยา</v>
          </cell>
          <cell r="I11" t="str">
            <v>0700341028420106</v>
          </cell>
          <cell r="J11">
            <v>144900</v>
          </cell>
        </row>
        <row r="12">
          <cell r="E12" t="str">
            <v>ค่าสำรวจธรณีและปฐพีวิทยาปรับปรุงทำนบดินอ่างฯแม่ต๋ำอันเนื่องมาจากพระราชดำริ จ.พะเยา</v>
          </cell>
          <cell r="J12">
            <v>125500</v>
          </cell>
        </row>
        <row r="13">
          <cell r="E13" t="str">
            <v>ค่าสำรวจธรณีและปฐพีวิทยาปรับปรุงทำนบดินอ่างฯห้วยเคียนอันเนื่องมาจากพระราชดำริ จ.พะเยา</v>
          </cell>
          <cell r="J13">
            <v>100300</v>
          </cell>
        </row>
        <row r="14">
          <cell r="E14" t="str">
    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    </cell>
          <cell r="J14">
            <v>99000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    </cell>
          <cell r="I5" t="str">
            <v>0700341028420107</v>
          </cell>
          <cell r="J5">
            <v>620800</v>
          </cell>
        </row>
        <row r="6">
          <cell r="E6" t="str">
    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    </cell>
          <cell r="J6">
            <v>1036000</v>
          </cell>
        </row>
        <row r="7">
          <cell r="E7" t="str">
    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    </cell>
          <cell r="J7">
            <v>693800</v>
          </cell>
        </row>
        <row r="8">
          <cell r="E8" t="str">
    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    </cell>
          <cell r="J8">
            <v>695900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0700341028200001</v>
          </cell>
          <cell r="J5">
            <v>3868800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    </cell>
          <cell r="I5" t="str">
            <v>0700338006410044</v>
          </cell>
          <cell r="J5">
            <v>111600</v>
          </cell>
        </row>
        <row r="6">
          <cell r="E6" t="str">
    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    </cell>
          <cell r="I6" t="str">
            <v>0700338006410017</v>
          </cell>
          <cell r="J6">
            <v>32800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จัดหาน้ำสนับสนุนราษฎรและวนรอุทยานบ้านพญาพิภักดิ์ระยะที่ 2 จ.เชียงราย</v>
          </cell>
          <cell r="I5" t="str">
            <v>0700341028420184</v>
          </cell>
          <cell r="J5">
            <v>0</v>
          </cell>
        </row>
        <row r="6">
          <cell r="E6" t="str">
    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    </cell>
          <cell r="I6" t="str">
            <v>0700341028410083</v>
          </cell>
          <cell r="J6">
            <v>0</v>
          </cell>
        </row>
        <row r="7">
          <cell r="E7" t="str">
    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    </cell>
          <cell r="I7" t="str">
            <v>0700341028410057</v>
          </cell>
          <cell r="J7">
            <v>0</v>
          </cell>
        </row>
        <row r="8">
          <cell r="E8" t="str">
    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    </cell>
          <cell r="I8" t="str">
            <v>0700341028410052</v>
          </cell>
          <cell r="J8">
            <v>0</v>
          </cell>
        </row>
        <row r="9">
          <cell r="E9" t="str">
            <v>ฝายพร้อมระบบส่งน้ำบ้านป่าไม้จัดหาน้ำสนับสนุนโครงการหลวงสะโง๊ะ จ.เชียงราย</v>
          </cell>
          <cell r="I9" t="str">
            <v>0700341028410075</v>
          </cell>
          <cell r="J9">
            <v>0</v>
          </cell>
        </row>
        <row r="10">
          <cell r="E10" t="str">
            <v>ฝายพร้อมระบบส่งน้ำห้วยปางหมู จัดหาน้ำสนับสนุนศูนย์พัฒนาโครงการหลวงห้วยแล้ง จ.เชียงราย</v>
          </cell>
          <cell r="I10" t="str">
            <v>0700341028410049</v>
          </cell>
          <cell r="J10">
            <v>0</v>
          </cell>
        </row>
        <row r="11">
          <cell r="E11" t="str">
            <v>ฝายแม่ลอยพร้อมระบบส่งน้ำ จ.เชียงราย</v>
          </cell>
          <cell r="I11" t="str">
            <v>0700341028420185</v>
          </cell>
          <cell r="J11">
            <v>0</v>
          </cell>
        </row>
        <row r="12">
          <cell r="E12" t="str">
    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    </cell>
          <cell r="I12" t="str">
            <v>0700341028410050</v>
          </cell>
          <cell r="J12">
            <v>0</v>
          </cell>
        </row>
        <row r="13">
          <cell r="E13" t="str">
            <v>ระบบส่งน้ำฝั่งซ้ายฝายห้วยตอง จ.เชียงราย</v>
          </cell>
          <cell r="I13" t="str">
            <v>0700341028420297</v>
          </cell>
          <cell r="J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ปรับปรุงท่อระบบส่งน้ำและอาคารประกอบโครงการจัดหาน้ำสนับสนุนบ้านสบขุ่น จ.น่าน</v>
          </cell>
          <cell r="I5" t="str">
            <v>0700341028420298</v>
          </cell>
          <cell r="J5">
            <v>260000</v>
          </cell>
        </row>
        <row r="6">
          <cell r="E6" t="str">
            <v>ฝายนาสาพร้อมระบบส่งน้ำโครงการขยายผลโครงการหลวงแม่จริม จ.น่าน</v>
          </cell>
          <cell r="I6" t="str">
            <v>0700341028420182</v>
          </cell>
          <cell r="J6">
            <v>458500</v>
          </cell>
        </row>
        <row r="7">
          <cell r="E7" t="str">
    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    </cell>
          <cell r="I7" t="str">
            <v>0700341028420183</v>
          </cell>
          <cell r="J7">
            <v>180000</v>
          </cell>
        </row>
        <row r="8">
          <cell r="E8" t="str">
            <v>ฝายห้วยผาลาดพร้อมระบบส่งน้ำจัดหาน้ำสนับสนุนโครงการขยายผลโครงการหลวงน้ำเคิม จ.น่าน</v>
          </cell>
          <cell r="I8" t="str">
            <v>0700341028420181</v>
          </cell>
          <cell r="J8">
            <v>315000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ปรับปรุงระบบส่งน้ำฝายป่ารวก อ.เถิน จ.ลำปาง</v>
          </cell>
          <cell r="I5" t="str">
            <v>0700341028410088</v>
          </cell>
          <cell r="J5">
            <v>254000</v>
          </cell>
        </row>
        <row r="6">
          <cell r="E6" t="str">
            <v>ปรับระบบส่งน้ำอ่างเก็บน้ำห้วยสามขา อ.แม่ทะ จ.ลำปาง</v>
          </cell>
          <cell r="I6" t="str">
            <v>0700341028410062</v>
          </cell>
          <cell r="J6">
            <v>113000</v>
          </cell>
        </row>
        <row r="7">
          <cell r="E7" t="str">
            <v>ปรับปรุงระบบส่งน้ำฝั่งซ้ายอ่างเก็บน้ำห้วยแม่จอก จ.ลำปาง</v>
          </cell>
          <cell r="I7" t="str">
            <v>0700341028410089</v>
          </cell>
          <cell r="J7">
            <v>206000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ระบบส่งน้ำอ่างเก็บน้ำห้วยสร้อยศรี ระยะที่ 1 จ.พะเยา</v>
          </cell>
          <cell r="I5" t="str">
            <v>0700341028420191</v>
          </cell>
          <cell r="J5">
            <v>258000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สถานีสูบน้ำด้วยไฟฟ้าพร้อมระบบสูบน้ำบ้านห้วยโป่ง จ.เชียงราย</v>
          </cell>
          <cell r="I5" t="str">
            <v>0700341028420342</v>
          </cell>
          <cell r="J5">
            <v>555900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ปรับปรุงทำนบดินพร้อมอาคารประกอบอ่างเก็บน้ำแม่แก่ง อ.เถิน จ.ลำปาง</v>
          </cell>
          <cell r="I5" t="str">
            <v>0700341029420005</v>
          </cell>
          <cell r="J5">
            <v>15000000</v>
          </cell>
        </row>
        <row r="6">
          <cell r="E6" t="str">
            <v>อาคารป้องกันการกัดเซาะตลิ่งแม่น้ำวังท้ายเขื่อนกิ่วลมบ้านสบมาย อ.เมือง จ.ลำปาง</v>
          </cell>
          <cell r="I6" t="str">
            <v>0700341029420027</v>
          </cell>
          <cell r="J6">
            <v>537000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5" t="str">
            <v>0700341029420135</v>
          </cell>
          <cell r="J5">
            <v>31756800</v>
          </cell>
        </row>
        <row r="6">
          <cell r="E6" t="str">
    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6" t="str">
            <v>0700341029420076</v>
          </cell>
          <cell r="J6">
            <v>1270300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E7" t="str">
            <v>ค่าควบคุมงานจ้างเหมาโครงการปรับปรุงเขื่อนแม่สรวย จ.เชียงราย</v>
          </cell>
          <cell r="I7" t="str">
            <v>0700341029410043</v>
          </cell>
          <cell r="J7">
            <v>952700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ปรับปรุงฐานยันเขื่อนอ่างเก็บน้ำดอยงู อ.เวียงป่าเป้า จ.เชียงราย</v>
          </cell>
          <cell r="I5" t="str">
            <v>0700341029420006</v>
          </cell>
          <cell r="J5">
            <v>1119600</v>
          </cell>
        </row>
        <row r="6">
          <cell r="E6" t="str">
            <v>ปรับปรุงลาดไหล่เขาฝั่งขวาโครงการเขื่อนแม่สรวย อ.แม่สรวย จ.เชียงราย</v>
          </cell>
          <cell r="I6" t="str">
            <v>0700341029420026</v>
          </cell>
          <cell r="J6">
            <v>1389000</v>
          </cell>
        </row>
        <row r="7">
          <cell r="J7">
            <v>10640000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    </cell>
          <cell r="I5" t="str">
            <v>0700341029420080</v>
          </cell>
          <cell r="J5">
            <v>10500000</v>
          </cell>
        </row>
        <row r="6">
          <cell r="E6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    </cell>
          <cell r="I6" t="str">
            <v>0700341029420081</v>
          </cell>
          <cell r="J6">
            <v>7678800</v>
          </cell>
        </row>
        <row r="7">
          <cell r="J7">
            <v>315000</v>
          </cell>
        </row>
        <row r="8">
          <cell r="J8">
            <v>230370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ซ่อมแซมระบบส่งน้ำอ่างเก็บน้ำแม่ปราบ อ.สบปราบ จ.ลำปาง</v>
          </cell>
          <cell r="I5" t="str">
            <v>0700338006410FD3</v>
          </cell>
          <cell r="J5">
            <v>37000</v>
          </cell>
        </row>
        <row r="6">
          <cell r="E6" t="str">
            <v>ซ่อมแซมคลองส่งน้ำสายทุ่งบวกนองอ่างเก็บน้ำห้วยเป้ง อ.เมืองปาน จ.ลำปาง</v>
          </cell>
          <cell r="I6" t="str">
            <v>0700338006410FD4</v>
          </cell>
          <cell r="J6">
            <v>43500</v>
          </cell>
        </row>
        <row r="7">
          <cell r="E7" t="str">
            <v>ซ่อมแซมอ่างเก็บน้ำแม่ไพรตำบลวอแก้ว อ.ห้างฉัตร จ.ลำปาง</v>
          </cell>
          <cell r="I7" t="str">
            <v>0700338006410FN2</v>
          </cell>
          <cell r="J7">
            <v>39000</v>
          </cell>
        </row>
        <row r="8">
          <cell r="E8" t="str">
            <v>ซ่อมแซมคลองส่งน้ำฝั่งซ้ายอ่างเก็บน้ำแม่ยาว อ.ห้างฉัตร จ.ลำปาง</v>
          </cell>
          <cell r="I8" t="str">
            <v>0700338006410FN3</v>
          </cell>
          <cell r="J8">
            <v>40000</v>
          </cell>
        </row>
        <row r="9">
          <cell r="E9" t="str">
            <v>ซ่อมแซมระบบส่งน้ำอ่างเก็บน้ำห้วยไคร้ อ.เสริมงาน จ.ลำปาง</v>
          </cell>
          <cell r="I9" t="str">
            <v>0700338006410FD5</v>
          </cell>
          <cell r="J9">
            <v>73000</v>
          </cell>
        </row>
        <row r="10">
          <cell r="E10" t="str">
            <v>ซ่อมแซมคลองส่งน้ำอ่างเก็บน้ำแม่ไพร(เหมืองเจ๊ก) อ.ห้างฉัตร จ.ลำปาง</v>
          </cell>
          <cell r="I10" t="str">
            <v>0700338006410FD6</v>
          </cell>
          <cell r="J10">
            <v>36000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    </cell>
          <cell r="I5" t="str">
            <v>0700341031410001</v>
          </cell>
          <cell r="J5">
            <v>1902700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    </cell>
          <cell r="I5" t="str">
            <v>0700341031200001</v>
          </cell>
          <cell r="J5">
            <v>340000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โครงการอ่างเก็บน้ำห้วยต้อง อ.แม่พริก จ.ลำปาง</v>
          </cell>
          <cell r="I5" t="str">
            <v>909090101463</v>
          </cell>
          <cell r="J5">
            <v>879700</v>
          </cell>
        </row>
        <row r="6">
          <cell r="E6" t="str">
            <v>โครงการอ่างเก็บน้ำกห้วยน้ำม้า อ.เชียงของ จ.เชียงราย</v>
          </cell>
          <cell r="I6" t="str">
            <v>909090101462</v>
          </cell>
          <cell r="J6">
            <v>944300</v>
          </cell>
        </row>
        <row r="7">
          <cell r="E7" t="str">
            <v>โครงการปรับปรุงระบบส่งน้ำฝั่งซ้ายฝายถ่อนพร้อมระบบส่งน้ำอันเนื่องมาจากพระราชดำริ อ.ท่าวังผา จ.น่าน</v>
          </cell>
          <cell r="I7" t="str">
            <v>909090101465</v>
          </cell>
          <cell r="J7">
            <v>207000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6">
          <cell r="E6" t="str">
            <v>โครงการจัดหาน้ำสนับสนุนโรงเรียนตำรวจตระเวนชายแดนเจ้าพ่อหลวงอุปถัมภ์ 3(ช่างกลปทุมวันอนุสรณ์4) จ.เชียงราย</v>
          </cell>
        </row>
        <row r="8">
          <cell r="E8" t="str">
            <v>โครงการอ่างเก็บน้ำห้วยทราย จ.พะเยา</v>
          </cell>
          <cell r="I8" t="str">
            <v>9090940010NC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532000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ซ่อมแซมระบบประปาบริเวณส่วนเครื่องจักรกล(ปลายเหมือง)สำนักงานชลประทานที่ 2</v>
          </cell>
          <cell r="I5" t="str">
            <v>90909730160100พส</v>
          </cell>
          <cell r="J5">
            <v>940000</v>
          </cell>
        </row>
        <row r="6">
          <cell r="E6" t="str">
            <v>ซ่อมแซมระบบไฟฟ้าแสงสว่างรอบบริเวณและบ้านพักบริเวณเครื่องจักรกล จ.ลำปาง</v>
          </cell>
          <cell r="I6" t="str">
            <v>90909730160100พห</v>
          </cell>
          <cell r="J6">
            <v>950000</v>
          </cell>
        </row>
        <row r="7">
          <cell r="E7" t="str">
            <v>ซ่อมแซมและต่อเติมโรงจอดรถทั่วไป 2 บริเวณสำนักงานฯ สำนักงานชลประทานที่ 2</v>
          </cell>
          <cell r="I7" t="str">
            <v>90909730160100ฟA</v>
          </cell>
          <cell r="J7">
            <v>600000</v>
          </cell>
        </row>
        <row r="8">
          <cell r="E8" t="str">
            <v>ซ่อมแซมและต่อเติมโรงจอดรถผู้บริหาร 2 บริเวณสำนักงานฯ สำนักงานชลประทานที่ 2</v>
          </cell>
          <cell r="I8" t="str">
            <v>90909730160100ฟB</v>
          </cell>
          <cell r="J8">
            <v>450000</v>
          </cell>
        </row>
        <row r="9">
          <cell r="E9" t="str">
            <v>ซ่อมแซมสีตัวอาคารที่ทำการสำนักงานฯ สำนักงานชลประทานที่ 2</v>
          </cell>
          <cell r="I9" t="str">
            <v>90909730160100ฟC</v>
          </cell>
          <cell r="J9">
            <v>420000</v>
          </cell>
        </row>
        <row r="10">
          <cell r="E10" t="str">
            <v>ซ่อมแซมคลังเก็บเอกสารและอุปกรณ์ สำนักงานชลประทานที่ 2</v>
          </cell>
          <cell r="I10" t="str">
            <v>90909730160100ฟD</v>
          </cell>
          <cell r="J10">
            <v>850000</v>
          </cell>
        </row>
        <row r="11">
          <cell r="E11" t="str">
            <v>ซ่อมแซมพื้นทางเท้าและโรงจอดรถจักรยานยนต์ สำนักงานชลประทานที่ 2</v>
          </cell>
          <cell r="I11" t="str">
            <v>90909730160100ฟE</v>
          </cell>
          <cell r="J11">
            <v>450000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</sheetNames>
    <sheetDataSet>
      <sheetData sheetId="0">
        <row r="5">
          <cell r="E5" t="str">
            <v>ปรับปรุงพัฒนาอุปกรณ์และระบบตรวจวัดพฤติกรรมเขื่อนแม่สรวย(ระยะที่ 2) จ.เชียงราย</v>
          </cell>
          <cell r="I5" t="str">
            <v>0700322001420280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โครงการฝายทุ่งผึ้งพร้อมระบบส่งน้ำ อ.เทิง จ.เชียงราย</v>
          </cell>
          <cell r="I5">
            <v>9090940010</v>
          </cell>
          <cell r="J5">
            <v>490000</v>
          </cell>
        </row>
        <row r="6">
          <cell r="E6" t="str">
            <v>โครงการอ่างเก็บน้ำห้วยก้างปลา อ.เวียงป่าเป้า จ.เชียงราย</v>
          </cell>
          <cell r="J6">
            <v>810000</v>
          </cell>
        </row>
        <row r="7">
          <cell r="E7" t="str">
    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    </cell>
          <cell r="J7">
            <v>280000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อ่างเก็บน้ำแม่อางพร้อมระบบส่งน้ำ อ.แม่ทะ จ.ลำปาง</v>
          </cell>
          <cell r="I5" t="str">
            <v>0700341028420124</v>
          </cell>
          <cell r="J5">
            <v>25482000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1">
          <cell r="E11" t="str">
            <v>ซ่อมแซมคลองส่งน้ำสาย1L-ขวาล่างอ่างเก็บน้ำห้วยเกี๋ยง จ.ลำปาง</v>
          </cell>
          <cell r="I11" t="str">
            <v>0700338006410FD2</v>
          </cell>
          <cell r="J11">
            <v>72000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  <sheetName val="Sheet2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  <cell r="J5">
            <v>14663213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  <cell r="J6">
            <v>7702721.8899999997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  <cell r="J7">
            <v>10692285.73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    </cell>
          <cell r="I5" t="str">
            <v>0700338006410504</v>
          </cell>
          <cell r="J5">
            <v>27300</v>
          </cell>
        </row>
        <row r="6">
          <cell r="E6" t="str">
            <v>ซ่อมแซมสะพานน้ำสาย 1R-1R-RMC อ่างเก็บน้ำแม่ทานโครงการชลประทานลำปางต.แม่กัวะ อ.สบปราบ จ.ลำปาง</v>
          </cell>
          <cell r="I6" t="str">
            <v>0700338006410249</v>
          </cell>
          <cell r="J6">
            <v>19000</v>
          </cell>
        </row>
        <row r="7">
          <cell r="E7" t="str">
            <v>ซ่อมแซมทางระบายน้ำท้ายฝายยางประสบสุกโครงการชลประทานลำปาง ต.แม่สุก อ.แจ้ห่ม จ.ลำปาง</v>
          </cell>
          <cell r="I7" t="str">
            <v>0700338006410506</v>
          </cell>
          <cell r="J7">
            <v>84100</v>
          </cell>
        </row>
        <row r="8">
          <cell r="E8" t="str">
    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    </cell>
          <cell r="I8" t="str">
            <v>0700338006410507</v>
          </cell>
          <cell r="J8">
            <v>44300</v>
          </cell>
        </row>
        <row r="9">
          <cell r="E9" t="str">
            <v>ซ่อมแซมอ่างเก็บน้ำแม่ฟอกโครงการชลประทานลำปางเสริมซ้าย อ.เสริมงาม จ.ลำปาง</v>
          </cell>
          <cell r="I9" t="str">
            <v>0700338006410250</v>
          </cell>
          <cell r="J9">
            <v>44000</v>
          </cell>
        </row>
        <row r="10">
          <cell r="E10" t="str">
    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    </cell>
          <cell r="I10" t="str">
            <v>0700338006410508</v>
          </cell>
          <cell r="J10">
            <v>3000</v>
          </cell>
        </row>
        <row r="11">
          <cell r="E11" t="str">
            <v>ซ่อมแซมอ่างเก็บน้ำแม่ยามใน โครงการชลประทานลำปาง ต.เมืองยาว อ.ห้างฉัตร จ.ลำปาง</v>
          </cell>
          <cell r="I11" t="str">
            <v>0700338006410509</v>
          </cell>
          <cell r="J11">
            <v>39000</v>
          </cell>
        </row>
        <row r="12">
          <cell r="E12" t="str">
    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    </cell>
          <cell r="I12" t="str">
            <v>0700338006410510</v>
          </cell>
          <cell r="J12">
            <v>44100</v>
          </cell>
        </row>
        <row r="13">
          <cell r="E13" t="str">
    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    </cell>
          <cell r="I13" t="str">
            <v>0700338006410511</v>
          </cell>
          <cell r="J13">
            <v>2500</v>
          </cell>
        </row>
        <row r="14">
          <cell r="E14" t="str">
    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    </cell>
          <cell r="I14" t="str">
            <v>0700338006410286</v>
          </cell>
          <cell r="J14">
            <v>29000</v>
          </cell>
        </row>
        <row r="15">
          <cell r="E15" t="str">
    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    </cell>
          <cell r="I15" t="str">
            <v>0700338006410604</v>
          </cell>
          <cell r="J15">
            <v>82000</v>
          </cell>
        </row>
        <row r="16">
          <cell r="E16" t="str">
    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    </cell>
          <cell r="I16" t="str">
            <v>0700338006410606</v>
          </cell>
          <cell r="J16">
            <v>28900</v>
          </cell>
        </row>
        <row r="17">
          <cell r="E17" t="str">
    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    </cell>
          <cell r="I17" t="str">
            <v>0700338006410288</v>
          </cell>
          <cell r="J17">
            <v>17900</v>
          </cell>
        </row>
        <row r="18">
          <cell r="E18" t="str">
    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    </cell>
          <cell r="I18" t="str">
            <v>0700338006410607</v>
          </cell>
          <cell r="J18">
            <v>44000</v>
          </cell>
        </row>
        <row r="19">
          <cell r="E19" t="str">
    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    </cell>
          <cell r="I19" t="str">
            <v>0700338006410289</v>
          </cell>
          <cell r="J19">
            <v>22000</v>
          </cell>
        </row>
        <row r="20">
          <cell r="E20" t="str">
    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    </cell>
          <cell r="I20" t="str">
            <v>0700338006410294</v>
          </cell>
          <cell r="J20">
            <v>16500</v>
          </cell>
        </row>
        <row r="21">
          <cell r="E21" t="str">
            <v>ซ่อมแซมโรงจอดรถยนต์โครงการส่งน้ำและบำรุงรักษาแม่วัง ต.บ้านแลง อ.เมืองลำปาง จ.ลำปาง</v>
          </cell>
          <cell r="I21" t="str">
            <v>0700338006410295</v>
          </cell>
          <cell r="J21">
            <v>23100</v>
          </cell>
        </row>
        <row r="22">
          <cell r="E22" t="str">
    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    </cell>
          <cell r="I22" t="str">
            <v>0700338006410617</v>
          </cell>
          <cell r="J22">
            <v>28800</v>
          </cell>
        </row>
        <row r="23">
          <cell r="E23" t="str">
    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    </cell>
          <cell r="I23" t="str">
            <v>0700338006410296</v>
          </cell>
          <cell r="J23">
            <v>6900</v>
          </cell>
        </row>
        <row r="24">
          <cell r="E24" t="str">
    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    </cell>
          <cell r="I24" t="str">
            <v>0700338006410618</v>
          </cell>
          <cell r="J24">
            <v>23000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    </cell>
          <cell r="I5" t="str">
            <v>0700338006410297</v>
          </cell>
          <cell r="J5">
            <v>13200</v>
          </cell>
        </row>
        <row r="6">
          <cell r="E6" t="str">
    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    </cell>
          <cell r="I6" t="str">
            <v>0700338006410298</v>
          </cell>
          <cell r="J6">
            <v>16500</v>
          </cell>
        </row>
        <row r="7">
          <cell r="E7" t="str">
    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    </cell>
          <cell r="I7" t="str">
            <v>0700338006410299</v>
          </cell>
          <cell r="J7">
            <v>29900</v>
          </cell>
        </row>
        <row r="8">
          <cell r="E8" t="str">
    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    </cell>
          <cell r="I8" t="str">
            <v>0700338006410619</v>
          </cell>
          <cell r="J8">
            <v>83400</v>
          </cell>
        </row>
        <row r="9">
          <cell r="E9" t="str">
    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    </cell>
          <cell r="I9" t="str">
            <v>0700338006410300</v>
          </cell>
          <cell r="J9">
            <v>31100</v>
          </cell>
        </row>
        <row r="10">
          <cell r="E10" t="str">
            <v>ซ่อมแซมห้องน้ำคนงานโครงการส่งน้ำและบำรุงรักษาแม่วัง ต.บ้านแลง อ.เมืองลำปาง จ.ลำปาง</v>
          </cell>
          <cell r="I10" t="str">
            <v>0700338006410620</v>
          </cell>
          <cell r="J10">
            <v>16600</v>
          </cell>
        </row>
        <row r="11">
          <cell r="E11" t="str">
    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    </cell>
          <cell r="I11" t="str">
            <v>0700338006410302</v>
          </cell>
          <cell r="J11">
            <v>39000</v>
          </cell>
        </row>
        <row r="12">
          <cell r="E12" t="str">
    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    </cell>
          <cell r="I12" t="str">
            <v>0700338006410303</v>
          </cell>
          <cell r="J12">
            <v>34100</v>
          </cell>
        </row>
        <row r="13">
          <cell r="E13" t="str">
    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    </cell>
          <cell r="I13" t="str">
            <v>0700338006410304</v>
          </cell>
          <cell r="J13">
            <v>20800</v>
          </cell>
        </row>
        <row r="14">
          <cell r="E14" t="str">
    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    </cell>
          <cell r="I14" t="str">
            <v>0700338006410622</v>
          </cell>
          <cell r="J14">
            <v>27500</v>
          </cell>
        </row>
        <row r="15">
          <cell r="E15" t="str">
    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    </cell>
          <cell r="I15" t="str">
            <v>0700338006410305</v>
          </cell>
          <cell r="J15">
            <v>38500</v>
          </cell>
        </row>
        <row r="16">
          <cell r="E16" t="str">
    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    </cell>
          <cell r="I16" t="str">
            <v>0700338006410306</v>
          </cell>
          <cell r="J16">
            <v>41200</v>
          </cell>
        </row>
        <row r="17">
          <cell r="E17" t="str">
    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    </cell>
          <cell r="I17" t="str">
            <v>0700338006410623</v>
          </cell>
          <cell r="J17">
            <v>27500</v>
          </cell>
        </row>
        <row r="18">
          <cell r="E18" t="str">
    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    </cell>
          <cell r="I18" t="str">
            <v>0700338006410307</v>
          </cell>
          <cell r="J18">
            <v>62100</v>
          </cell>
        </row>
        <row r="19">
          <cell r="E19" t="str">
    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    </cell>
          <cell r="I19" t="str">
            <v>0700338006410624</v>
          </cell>
          <cell r="J19">
            <v>33200</v>
          </cell>
        </row>
        <row r="20">
          <cell r="E20" t="str">
    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    </cell>
          <cell r="I20" t="str">
            <v>0700338006410308</v>
          </cell>
          <cell r="J20">
            <v>31100</v>
          </cell>
        </row>
        <row r="21">
          <cell r="E21" t="str">
    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    </cell>
          <cell r="I21" t="str">
            <v>0700338006410625</v>
          </cell>
          <cell r="J21">
            <v>33400</v>
          </cell>
        </row>
        <row r="22">
          <cell r="E22" t="str">
    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    </cell>
          <cell r="I22" t="str">
            <v>0700338006410309</v>
          </cell>
          <cell r="J22">
            <v>37800</v>
          </cell>
        </row>
        <row r="23">
          <cell r="E23" t="str">
    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    </cell>
          <cell r="I23" t="str">
            <v>0700338006410626</v>
          </cell>
          <cell r="J23">
            <v>33300</v>
          </cell>
        </row>
        <row r="24">
          <cell r="E24" t="str">
    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    </cell>
          <cell r="I24" t="str">
            <v>0700338006410310</v>
          </cell>
          <cell r="J24">
            <v>26700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    </cell>
          <cell r="I5" t="str">
            <v>0700338006410311</v>
          </cell>
          <cell r="J5">
            <v>62200</v>
          </cell>
        </row>
        <row r="6">
          <cell r="E6" t="str">
    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    </cell>
          <cell r="I6" t="str">
            <v>0700338006410627</v>
          </cell>
          <cell r="J6">
            <v>57900</v>
          </cell>
        </row>
        <row r="7">
          <cell r="E7" t="str">
    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    </cell>
          <cell r="I7" t="str">
            <v>0700338006410312</v>
          </cell>
          <cell r="J7">
            <v>66500</v>
          </cell>
        </row>
        <row r="8">
          <cell r="E8" t="str">
            <v>ซ่อมแซมคลองแยกซอย16.6L-0.5Lและคลองซอย16.6Lโครงการส่งน้ำและบำรุงรักษากิ่วลม-กิ่วคอหมา จ.ลำปาง</v>
          </cell>
          <cell r="I8" t="str">
            <v>0700338006410287</v>
          </cell>
          <cell r="J8">
            <v>156000</v>
          </cell>
        </row>
        <row r="9">
          <cell r="E9" t="str">
    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    </cell>
          <cell r="I9" t="str">
            <v>0700338006410608</v>
          </cell>
          <cell r="J9">
            <v>121000</v>
          </cell>
        </row>
        <row r="10">
          <cell r="E10" t="str">
            <v>ซ่อมแซมคลองระบายน้ำด้วยขอนห่มโครงการส่งน้ำและบำรุงรักษากิ่วลม-กิ่วคอหมา จ.ลำปาง</v>
          </cell>
          <cell r="I10" t="str">
            <v>0700338006410301</v>
          </cell>
          <cell r="J10">
            <v>110700</v>
          </cell>
        </row>
        <row r="11">
          <cell r="E11" t="str">
            <v>ซ่อมแซมคลองส่งน้ำสายใหญ่แม่วังฝั่งซ้ายกม.0+250-กม1+000โครงการส่งน้ำและบำรุงรักษาแม่วัง จ.ลำปาง</v>
          </cell>
          <cell r="I11" t="str">
            <v>0700338006410621</v>
          </cell>
          <cell r="J11">
            <v>132900</v>
          </cell>
        </row>
        <row r="12">
          <cell r="E12" t="str">
            <v>ซ่อมแซมคลองส่งน้ำสายขวาบน(RMC)อ่างเก็บน้ำห้วยเกี๋ยงโครงการชลประทานลำปาง จ.ลำปาง</v>
          </cell>
          <cell r="I12" t="str">
            <v>0700338006410505</v>
          </cell>
          <cell r="J12">
            <v>54000</v>
          </cell>
        </row>
        <row r="13">
          <cell r="E13" t="str">
            <v>ซ่อมแซมคอนกรีตดาดคลองRMCกิ่วลม กม42+300+กม52+000โครงการส่งน้ำและบำรุงรักษากิ่วลม-กิ่วคอหมา จ.ลำปาง</v>
          </cell>
          <cell r="I13" t="str">
            <v>0700338006410605</v>
          </cell>
          <cell r="J13">
            <v>39000</v>
          </cell>
        </row>
        <row r="14">
          <cell r="E14" t="str">
            <v>ซ่อมแซมอาคารระบายน้ำ กม.17+936 LMCแม่วังและลาดชันดินด้านข้าง อ.เมือง จ.ลำปาง</v>
          </cell>
          <cell r="I14" t="str">
            <v>0700338006420035</v>
          </cell>
          <cell r="J14">
            <v>52500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ซ่อมแซมอาคารที่ทำการจัดหาที่ดินบริเวณสำนักงานฯ สำนักงานชลประทานที่ 2 อ.เมือง จ.ลำปาง</v>
          </cell>
          <cell r="I5" t="str">
            <v>0700338006410240</v>
          </cell>
          <cell r="J5">
            <v>910000</v>
          </cell>
        </row>
        <row r="6">
          <cell r="E6" t="str">
            <v>ซ่อมแซมห้องฝ่ายสื่อสารสำนักงานฯสำนักงานชลประทานที่ 2 อ.เมือง จ.ลำปาง</v>
          </cell>
          <cell r="I6" t="str">
            <v>0700338006410241</v>
          </cell>
          <cell r="J6">
            <v>500000</v>
          </cell>
        </row>
        <row r="7">
          <cell r="E7" t="str">
            <v>ซ่อมแซมห้องพิมพ์แบบและเก็บแบบสำนักงานฯ สำนักงานชลประทานที่ 2  อ.เมือง จ.ลำปาง</v>
          </cell>
          <cell r="I7" t="str">
            <v>0700338006410499</v>
          </cell>
          <cell r="J7">
            <v>500000</v>
          </cell>
        </row>
        <row r="8">
          <cell r="E8" t="str">
            <v>ซ่อมแซมอาคารบ้านพัก ถ.1-6 บริเวณสำนักงานฯ สำนักงานชลประทานที่ 2 อ.เมือง จ.ลำปาง</v>
          </cell>
          <cell r="I8" t="str">
            <v>0700338006410242</v>
          </cell>
          <cell r="J8">
            <v>900000</v>
          </cell>
        </row>
        <row r="9">
          <cell r="E9" t="str">
            <v>ซ่อมแซมบ้านพัก จ.12-13 บริเวณสำนักงานฯ สำนักงานชลประทานที่ 2 อ.เมือง จ.ลำปาง</v>
          </cell>
          <cell r="I9" t="str">
            <v>0700338006410500</v>
          </cell>
          <cell r="J9">
            <v>920000</v>
          </cell>
        </row>
        <row r="10">
          <cell r="E10" t="str">
            <v>ซ่อมแซมอาคารบ้านพัก จ.14-15  บริเวณสำนักงานฯ สำนักงานชลประทานที่ 2 อ.เมือง จ.ลำปาง</v>
          </cell>
          <cell r="I10" t="str">
            <v>0700338006410501</v>
          </cell>
          <cell r="J10">
            <v>920000</v>
          </cell>
        </row>
        <row r="11">
          <cell r="E11" t="str">
            <v>ซ่อมแซมอาคารบ้านพัก จ.16-17  บริเวณสำนักงานฯ สำนักงานชลประทานที่ 2 อ.เมือง จ.ลำปาง</v>
          </cell>
          <cell r="I11" t="str">
            <v>0700338006410243</v>
          </cell>
          <cell r="J11">
            <v>920000</v>
          </cell>
        </row>
        <row r="12">
          <cell r="E12" t="str">
            <v>ซ่อมแซมอาคารบ้านพัก ท.2  บริเวณสำนักงานฯ สำนักงานชลประทานที่ 2 อ.เมือง จ.ลำปาง</v>
          </cell>
          <cell r="I12" t="str">
            <v>0700338006410502</v>
          </cell>
          <cell r="J12">
            <v>960000</v>
          </cell>
        </row>
        <row r="13">
          <cell r="E13" t="str">
            <v>ซ่อมแซมอาคารบ้านพัก ท.3  บริเวณสำนักงานฯ สำนักงานชลประทานที่ 2 อ.เมือง จ.ลำปาง</v>
          </cell>
          <cell r="I13" t="str">
            <v>0700338006410503</v>
          </cell>
          <cell r="J13">
            <v>960000</v>
          </cell>
        </row>
        <row r="14">
          <cell r="E14" t="str">
            <v>ซ่อมแซมอาคารบ้านพัก ท.4  บริเวณสำนักงานฯ สำนักงานชลประทานที่ 2 อ.เมือง จ.ลำปาง</v>
          </cell>
          <cell r="I14" t="str">
            <v>0700338006410244</v>
          </cell>
          <cell r="J14">
            <v>960000</v>
          </cell>
        </row>
        <row r="15">
          <cell r="E15" t="str">
            <v>ซ่อมแซมอาคารบ้านพัก ท.5  บริเวณสำนักงานฯ สำนักงานชลประทานที่ 2 อ.เมือง จ.ลำปาง</v>
          </cell>
          <cell r="I15" t="str">
            <v>0700338006410245</v>
          </cell>
          <cell r="J15">
            <v>960000</v>
          </cell>
        </row>
        <row r="16">
          <cell r="E16" t="str">
            <v>ซ่อมแซมอาคารบ้านพัก ต.1 บริเวณสำนักงานฯ สำนักงานชลประทานที่ 2 อ.เมือง จ.ลำปาง</v>
          </cell>
          <cell r="I16" t="str">
            <v>0700338006410246</v>
          </cell>
          <cell r="J16">
            <v>910000</v>
          </cell>
        </row>
        <row r="17">
          <cell r="E17" t="str">
            <v>ซ่อมแซมงานสีและตีเส้นจราจรภายในสำนักงานฯ สำนักงานชลประทานที่ 2 อ.เมือง จ.ลำปาง</v>
          </cell>
          <cell r="I17" t="str">
            <v>0700338006410247</v>
          </cell>
          <cell r="J17">
            <v>370000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02"/>
  <sheetViews>
    <sheetView zoomScale="115" zoomScaleNormal="115" workbookViewId="0">
      <pane ySplit="3" topLeftCell="A4" activePane="bottomLeft" state="frozen"/>
      <selection activeCell="O29" sqref="O29"/>
      <selection pane="bottomLeft" activeCell="B7" sqref="B7"/>
    </sheetView>
  </sheetViews>
  <sheetFormatPr defaultColWidth="9" defaultRowHeight="23.25" x14ac:dyDescent="0.5"/>
  <cols>
    <col min="1" max="1" width="4.625" style="1" customWidth="1"/>
    <col min="2" max="2" width="81.375" style="1" customWidth="1"/>
    <col min="3" max="3" width="16.125" style="22" customWidth="1"/>
    <col min="4" max="4" width="7.375" style="22" customWidth="1"/>
    <col min="5" max="5" width="13.75" style="1" customWidth="1"/>
    <col min="6" max="6" width="12.125" style="1" customWidth="1"/>
    <col min="7" max="7" width="12.875" style="1" customWidth="1"/>
    <col min="8" max="8" width="13.375" style="1" customWidth="1"/>
    <col min="9" max="9" width="8.625" style="1" customWidth="1"/>
    <col min="10" max="10" width="12.125" style="1" customWidth="1"/>
    <col min="11" max="11" width="13" style="1" customWidth="1"/>
    <col min="12" max="12" width="13.375" style="1" customWidth="1"/>
    <col min="13" max="13" width="7.125" style="1" customWidth="1"/>
    <col min="14" max="14" width="8" style="1" customWidth="1"/>
    <col min="15" max="15" width="13.25" style="1" customWidth="1"/>
    <col min="16" max="16" width="12.875" style="1" customWidth="1"/>
    <col min="17" max="17" width="7.625" style="1" customWidth="1"/>
    <col min="18" max="18" width="12" style="1" customWidth="1"/>
    <col min="19" max="19" width="13.5" style="1" customWidth="1"/>
    <col min="20" max="20" width="17.25" style="1" customWidth="1"/>
    <col min="21" max="16384" width="9" style="1"/>
  </cols>
  <sheetData>
    <row r="1" spans="1:20" ht="33" customHeight="1" x14ac:dyDescent="0.6">
      <c r="A1" s="83" t="s">
        <v>108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 x14ac:dyDescent="0.5">
      <c r="A2" s="84" t="s">
        <v>0</v>
      </c>
      <c r="B2" s="85"/>
      <c r="C2" s="67"/>
      <c r="D2" s="88" t="s">
        <v>1</v>
      </c>
      <c r="E2" s="90" t="s">
        <v>2</v>
      </c>
      <c r="F2" s="91"/>
      <c r="G2" s="92"/>
      <c r="H2" s="90" t="s">
        <v>7</v>
      </c>
      <c r="I2" s="91"/>
      <c r="J2" s="91"/>
      <c r="K2" s="92"/>
      <c r="L2" s="90" t="s">
        <v>8</v>
      </c>
      <c r="M2" s="91"/>
      <c r="N2" s="91"/>
      <c r="O2" s="92"/>
      <c r="P2" s="90" t="s">
        <v>9</v>
      </c>
      <c r="Q2" s="91"/>
      <c r="R2" s="91"/>
      <c r="S2" s="92"/>
    </row>
    <row r="3" spans="1:20" ht="26.25" customHeight="1" x14ac:dyDescent="0.5">
      <c r="A3" s="86"/>
      <c r="B3" s="87"/>
      <c r="C3" s="68"/>
      <c r="D3" s="89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10</v>
      </c>
      <c r="C4" s="4"/>
      <c r="D4" s="4"/>
      <c r="E4" s="5">
        <f t="shared" ref="E4:E12" si="0">F4+G4</f>
        <v>141267773</v>
      </c>
      <c r="F4" s="5">
        <f>F5+F275</f>
        <v>62299900</v>
      </c>
      <c r="G4" s="5">
        <f>G5+G201+G226+G275+G290+G293</f>
        <v>78967873</v>
      </c>
      <c r="H4" s="5">
        <f t="shared" ref="H4:H7" si="1">J4+K4</f>
        <v>50836836.939999998</v>
      </c>
      <c r="I4" s="5">
        <f>H4*100/E4</f>
        <v>35.986153006036275</v>
      </c>
      <c r="J4" s="5">
        <f>J5+J275</f>
        <v>1760050</v>
      </c>
      <c r="K4" s="5">
        <f>K5+K201+K226+K275+K290+K293</f>
        <v>49076786.939999998</v>
      </c>
      <c r="L4" s="5">
        <f>N4+O4</f>
        <v>0</v>
      </c>
      <c r="M4" s="5">
        <f>L4*100/E4</f>
        <v>0</v>
      </c>
      <c r="N4" s="5">
        <f>N5+N275</f>
        <v>0</v>
      </c>
      <c r="O4" s="5">
        <f>O5+O201+O226+O275+O290+O293</f>
        <v>0</v>
      </c>
      <c r="P4" s="5">
        <f>E4-H4-L4</f>
        <v>90430936.060000002</v>
      </c>
      <c r="Q4" s="5">
        <f>P4*100/E4</f>
        <v>64.013846993963725</v>
      </c>
      <c r="R4" s="5">
        <f t="shared" ref="R4:S7" si="2">F4-J4-N4</f>
        <v>60539850</v>
      </c>
      <c r="S4" s="5">
        <f>G4-K4-O4</f>
        <v>29891086.060000002</v>
      </c>
      <c r="T4" s="26">
        <f>I4+M4+Q4</f>
        <v>100</v>
      </c>
    </row>
    <row r="5" spans="1:20" ht="30" customHeight="1" x14ac:dyDescent="0.5">
      <c r="A5" s="16"/>
      <c r="B5" s="50" t="s">
        <v>36</v>
      </c>
      <c r="C5" s="65"/>
      <c r="D5" s="62"/>
      <c r="E5" s="51">
        <f t="shared" si="0"/>
        <v>30314403</v>
      </c>
      <c r="F5" s="52">
        <f>F6</f>
        <v>454000</v>
      </c>
      <c r="G5" s="51">
        <f>G6+G7+G8+G11+G69+G83+G101+G128+G180+G184+G193+G199</f>
        <v>29860403</v>
      </c>
      <c r="H5" s="52">
        <f>J5+K5</f>
        <v>26824106.320000004</v>
      </c>
      <c r="I5" s="52">
        <f>H5*100/E5</f>
        <v>88.486342020326134</v>
      </c>
      <c r="J5" s="52">
        <f>J6</f>
        <v>453850</v>
      </c>
      <c r="K5" s="52">
        <f>K6+K7+K8+K11+K69+K83+K101+K128+K180+K184+K193+K199</f>
        <v>26370256.320000004</v>
      </c>
      <c r="L5" s="52">
        <f>N5+O5</f>
        <v>0</v>
      </c>
      <c r="M5" s="50">
        <f>L5*100/E5</f>
        <v>0</v>
      </c>
      <c r="N5" s="52">
        <f>N6</f>
        <v>0</v>
      </c>
      <c r="O5" s="52">
        <f>O6+O7+O8+O11+O69+O83+O101+O128+O180+O184+O193</f>
        <v>0</v>
      </c>
      <c r="P5" s="52">
        <f>R5+S5</f>
        <v>3490296.679999996</v>
      </c>
      <c r="Q5" s="51">
        <f>P5*100/E5</f>
        <v>11.513657979673873</v>
      </c>
      <c r="R5" s="52">
        <f>F5-J5-N5</f>
        <v>150</v>
      </c>
      <c r="S5" s="52">
        <f>G5-K5-O5</f>
        <v>3490146.679999996</v>
      </c>
      <c r="T5" s="26">
        <f>Q5+I5</f>
        <v>100</v>
      </c>
    </row>
    <row r="6" spans="1:20" ht="30" customHeight="1" x14ac:dyDescent="0.5">
      <c r="A6" s="15"/>
      <c r="B6" s="17" t="str">
        <f>[1]รายการสรุป!$E$5</f>
        <v>ซ่อมใหญ่เครื่องจักรเครื่องมือด้านบำรุงรักษาสำนักงานชลประทานที่ 2 จ.ลำปาง</v>
      </c>
      <c r="C6" s="24" t="str">
        <f>[1]รายการสรุป!$I$5</f>
        <v>0700338006110007</v>
      </c>
      <c r="D6" s="24" t="s">
        <v>69</v>
      </c>
      <c r="E6" s="7">
        <f t="shared" ref="E6" si="3">F6+G6</f>
        <v>454000</v>
      </c>
      <c r="F6" s="7">
        <f>[1]รายการสรุป!$J$5</f>
        <v>454000</v>
      </c>
      <c r="G6" s="8">
        <v>0</v>
      </c>
      <c r="H6" s="7">
        <f t="shared" ref="H6" si="4">J6+K6</f>
        <v>453850</v>
      </c>
      <c r="I6" s="7">
        <f t="shared" ref="I6" si="5">H6*100/E6</f>
        <v>99.966960352422902</v>
      </c>
      <c r="J6" s="7">
        <v>453850</v>
      </c>
      <c r="K6" s="7">
        <v>0</v>
      </c>
      <c r="L6" s="7">
        <f t="shared" ref="L6" si="6">N6+O6</f>
        <v>0</v>
      </c>
      <c r="M6" s="7">
        <f t="shared" ref="M6" si="7">L6*100/E6</f>
        <v>0</v>
      </c>
      <c r="N6" s="7">
        <v>0</v>
      </c>
      <c r="O6" s="7">
        <v>0</v>
      </c>
      <c r="P6" s="7">
        <f t="shared" ref="P6" si="8">R6+S6</f>
        <v>150</v>
      </c>
      <c r="Q6" s="7">
        <f t="shared" ref="Q6" si="9">P6*100/E6</f>
        <v>3.3039647577092511E-2</v>
      </c>
      <c r="R6" s="7">
        <f t="shared" ref="R6" si="10">F6-J6-N6</f>
        <v>150</v>
      </c>
      <c r="S6" s="7">
        <f t="shared" ref="S6" si="11">G6-K6-O6</f>
        <v>0</v>
      </c>
    </row>
    <row r="7" spans="1:20" ht="30" customHeight="1" x14ac:dyDescent="0.5">
      <c r="A7" s="15">
        <v>1</v>
      </c>
      <c r="B7" s="17" t="str">
        <f>[2]รายการสรุป!$E$5</f>
        <v>บริหารจัดการน้ำ สำนักงานชลประทานที่ 2 อ.เมือง จ.ลำปาง</v>
      </c>
      <c r="C7" s="24" t="str">
        <f>[2]รายการสรุป!$I$5</f>
        <v>0700338006410V92</v>
      </c>
      <c r="D7" s="6" t="s">
        <v>30</v>
      </c>
      <c r="E7" s="7">
        <f t="shared" si="0"/>
        <v>1000000</v>
      </c>
      <c r="F7" s="7">
        <v>0</v>
      </c>
      <c r="G7" s="8">
        <f>[2]รายการสรุป!$J$5</f>
        <v>1000000</v>
      </c>
      <c r="H7" s="7">
        <f t="shared" si="1"/>
        <v>626304.74</v>
      </c>
      <c r="I7" s="7">
        <f t="shared" ref="I7" si="12">H7*100/E7</f>
        <v>62.630474</v>
      </c>
      <c r="J7" s="7">
        <v>0</v>
      </c>
      <c r="K7" s="7">
        <f>5865.35+11731.7+3031.4+11731.7+4547.1+7998.75+3726+9606+25047.1+4719.9+9280+10665+7200+16192+26047.1+25756+4640+19352+12264.55+4372+4640+45185.03+5120+5715+51062.8+3482+50000+3482+44290.51+10665+9204+49027.1+17840+13106+12264.55+25900+51547.1</f>
        <v>626304.74</v>
      </c>
      <c r="L7" s="7">
        <f t="shared" ref="L7" si="13">N7+O7</f>
        <v>0</v>
      </c>
      <c r="M7" s="7">
        <f t="shared" ref="M7" si="14">L7*100/E7</f>
        <v>0</v>
      </c>
      <c r="N7" s="7">
        <v>0</v>
      </c>
      <c r="O7" s="7">
        <v>0</v>
      </c>
      <c r="P7" s="7">
        <f t="shared" ref="P7" si="15">R7+S7</f>
        <v>373695.26</v>
      </c>
      <c r="Q7" s="7">
        <f t="shared" ref="Q7" si="16">P7*100/E7</f>
        <v>37.369526</v>
      </c>
      <c r="R7" s="7">
        <f t="shared" si="2"/>
        <v>0</v>
      </c>
      <c r="S7" s="7">
        <f t="shared" si="2"/>
        <v>373695.26</v>
      </c>
    </row>
    <row r="8" spans="1:20" ht="30" customHeight="1" x14ac:dyDescent="0.5">
      <c r="A8" s="15"/>
      <c r="B8" s="48" t="s">
        <v>31</v>
      </c>
      <c r="C8" s="63"/>
      <c r="D8" s="63"/>
      <c r="E8" s="49">
        <f t="shared" si="0"/>
        <v>144400</v>
      </c>
      <c r="F8" s="49">
        <f>SUM(F9:F10)</f>
        <v>0</v>
      </c>
      <c r="G8" s="49">
        <f>SUM(G9:G10)</f>
        <v>144400</v>
      </c>
      <c r="H8" s="49">
        <f>J8+K8</f>
        <v>144131.60000000003</v>
      </c>
      <c r="I8" s="49">
        <f>H8*100/E8</f>
        <v>99.81412742382274</v>
      </c>
      <c r="J8" s="49">
        <f>SUM(J9:J10)</f>
        <v>0</v>
      </c>
      <c r="K8" s="49">
        <f>SUM(K9:K10)</f>
        <v>144131.60000000003</v>
      </c>
      <c r="L8" s="49">
        <f>N8+O8</f>
        <v>0</v>
      </c>
      <c r="M8" s="48"/>
      <c r="N8" s="49">
        <f>SUM(N9:N10)</f>
        <v>0</v>
      </c>
      <c r="O8" s="49">
        <f>SUM(O9:O10)</f>
        <v>0</v>
      </c>
      <c r="P8" s="49">
        <f>R8+S8</f>
        <v>268.39999999996508</v>
      </c>
      <c r="Q8" s="49">
        <f t="shared" ref="Q8:Q11" si="17">P8*100/E8</f>
        <v>0.18587257617726113</v>
      </c>
      <c r="R8" s="49">
        <f>SUM(R9:R10)</f>
        <v>0</v>
      </c>
      <c r="S8" s="49">
        <f>G8-K8-O8</f>
        <v>268.39999999996508</v>
      </c>
      <c r="T8" s="26">
        <f>I8+M8+Q8</f>
        <v>100</v>
      </c>
    </row>
    <row r="9" spans="1:20" ht="45.75" customHeight="1" x14ac:dyDescent="0.5">
      <c r="A9" s="15">
        <v>2</v>
      </c>
      <c r="B9" s="17" t="str">
        <f>[3]รายการสรุป!$E$5</f>
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</c>
      <c r="C9" s="24" t="str">
        <f>[3]รายการสรุป!$I$5</f>
        <v>0700338006410044</v>
      </c>
      <c r="D9" s="6" t="s">
        <v>30</v>
      </c>
      <c r="E9" s="7">
        <f t="shared" si="0"/>
        <v>111600</v>
      </c>
      <c r="F9" s="7">
        <v>0</v>
      </c>
      <c r="G9" s="8">
        <f>[3]รายการสรุป!$J$5</f>
        <v>111600</v>
      </c>
      <c r="H9" s="7">
        <f t="shared" ref="H9" si="18">J9+K9</f>
        <v>111424.60000000002</v>
      </c>
      <c r="I9" s="7">
        <f t="shared" ref="I9" si="19">H9*100/E9</f>
        <v>99.842831541218658</v>
      </c>
      <c r="J9" s="7">
        <v>0</v>
      </c>
      <c r="K9" s="7">
        <f>3660+6309+6309+5005.4+6309+6356.3+700+34510+12618+6309+8008.1+2551.8+11499+1280</f>
        <v>111424.60000000002</v>
      </c>
      <c r="L9" s="7">
        <f t="shared" ref="L9" si="20">N9+O9</f>
        <v>0</v>
      </c>
      <c r="M9" s="7">
        <f t="shared" ref="M9" si="21">L9*100/E9</f>
        <v>0</v>
      </c>
      <c r="N9" s="7">
        <v>0</v>
      </c>
      <c r="O9" s="7">
        <v>0</v>
      </c>
      <c r="P9" s="7">
        <f t="shared" ref="P9" si="22">R9+S9</f>
        <v>175.39999999997963</v>
      </c>
      <c r="Q9" s="7">
        <f t="shared" ref="Q9" si="23">P9*100/E9</f>
        <v>0.15716845878134375</v>
      </c>
      <c r="R9" s="7">
        <f t="shared" ref="R9" si="24">F9-J9-N9</f>
        <v>0</v>
      </c>
      <c r="S9" s="7">
        <f t="shared" ref="S9" si="25">G9-K9-O9</f>
        <v>175.39999999997963</v>
      </c>
    </row>
    <row r="10" spans="1:20" ht="46.5" customHeight="1" x14ac:dyDescent="0.5">
      <c r="A10" s="15">
        <v>3</v>
      </c>
      <c r="B10" s="17" t="str">
        <f>[3]รายการสรุป!$E$6</f>
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</c>
      <c r="C10" s="24" t="str">
        <f>[3]รายการสรุป!$I$6</f>
        <v>0700338006410017</v>
      </c>
      <c r="D10" s="6" t="s">
        <v>30</v>
      </c>
      <c r="E10" s="7">
        <f t="shared" si="0"/>
        <v>32800</v>
      </c>
      <c r="F10" s="7">
        <v>0</v>
      </c>
      <c r="G10" s="8">
        <f>[3]รายการสรุป!$J$6</f>
        <v>32800</v>
      </c>
      <c r="H10" s="7">
        <f t="shared" ref="H10" si="26">J10+K10</f>
        <v>32707</v>
      </c>
      <c r="I10" s="7">
        <f t="shared" ref="I10" si="27">H10*100/E10</f>
        <v>99.716463414634148</v>
      </c>
      <c r="J10" s="7">
        <v>0</v>
      </c>
      <c r="K10" s="7">
        <f>10080+6309+5004.5+6309+5004.5</f>
        <v>32707</v>
      </c>
      <c r="L10" s="7">
        <f t="shared" ref="L10" si="28">N10+O10</f>
        <v>0</v>
      </c>
      <c r="M10" s="7">
        <f t="shared" ref="M10" si="29">L10*100/E10</f>
        <v>0</v>
      </c>
      <c r="N10" s="7">
        <v>0</v>
      </c>
      <c r="O10" s="7">
        <v>0</v>
      </c>
      <c r="P10" s="7">
        <f t="shared" ref="P10" si="30">R10+S10</f>
        <v>93</v>
      </c>
      <c r="Q10" s="7">
        <f t="shared" si="17"/>
        <v>0.28353658536585363</v>
      </c>
      <c r="R10" s="7">
        <f t="shared" ref="R10" si="31">F10-J10-N10</f>
        <v>0</v>
      </c>
      <c r="S10" s="7">
        <f t="shared" ref="S10" si="32">G10-K10-O10</f>
        <v>93</v>
      </c>
    </row>
    <row r="11" spans="1:20" ht="30" customHeight="1" x14ac:dyDescent="0.5">
      <c r="A11" s="15"/>
      <c r="B11" s="48" t="s">
        <v>32</v>
      </c>
      <c r="C11" s="63"/>
      <c r="D11" s="63"/>
      <c r="E11" s="49">
        <f t="shared" si="0"/>
        <v>2499500</v>
      </c>
      <c r="F11" s="49">
        <f>SUM(F12:F17)</f>
        <v>0</v>
      </c>
      <c r="G11" s="49">
        <f>SUM(G12:G68)</f>
        <v>2499500</v>
      </c>
      <c r="H11" s="49">
        <f>J11+K11</f>
        <v>2303087.9800000004</v>
      </c>
      <c r="I11" s="49">
        <f>H11*100/E11</f>
        <v>92.141947589517926</v>
      </c>
      <c r="J11" s="49">
        <f>SUM(J12:J17)</f>
        <v>0</v>
      </c>
      <c r="K11" s="49">
        <f>SUM(K12:K68)</f>
        <v>2303087.9800000004</v>
      </c>
      <c r="L11" s="49">
        <f>N11+O11</f>
        <v>0</v>
      </c>
      <c r="M11" s="48"/>
      <c r="N11" s="49">
        <f>SUM(N12:N17)</f>
        <v>0</v>
      </c>
      <c r="O11" s="49">
        <f>SUM(O12:O68)</f>
        <v>0</v>
      </c>
      <c r="P11" s="49">
        <f>R11+S11</f>
        <v>196412.01999999955</v>
      </c>
      <c r="Q11" s="49">
        <f t="shared" si="17"/>
        <v>7.8580524104820784</v>
      </c>
      <c r="R11" s="49">
        <f>SUM(R12:R17)</f>
        <v>0</v>
      </c>
      <c r="S11" s="49">
        <f>G11-K11-O11</f>
        <v>196412.01999999955</v>
      </c>
      <c r="T11" s="26">
        <f>I11+M11+Q11</f>
        <v>100</v>
      </c>
    </row>
    <row r="12" spans="1:20" ht="30" customHeight="1" x14ac:dyDescent="0.5">
      <c r="A12" s="15">
        <v>4</v>
      </c>
      <c r="B12" s="17" t="str">
        <f>[4]รายการสรุป!$E$5</f>
        <v>ซ่อมแซมระบบส่งน้ำอ่างเก็บน้ำแม่ปราบ อ.สบปราบ จ.ลำปาง</v>
      </c>
      <c r="C12" s="24" t="str">
        <f>[4]รายการสรุป!$I$5</f>
        <v>0700338006410FD3</v>
      </c>
      <c r="D12" s="6" t="s">
        <v>33</v>
      </c>
      <c r="E12" s="7">
        <f t="shared" si="0"/>
        <v>37000</v>
      </c>
      <c r="F12" s="7">
        <v>0</v>
      </c>
      <c r="G12" s="8">
        <f>[4]รายการสรุป!$J$5</f>
        <v>37000</v>
      </c>
      <c r="H12" s="7">
        <f t="shared" ref="H12" si="33">J12+K12</f>
        <v>36961.199999999997</v>
      </c>
      <c r="I12" s="7">
        <f t="shared" ref="I12" si="34">H12*100/E12</f>
        <v>99.895135135135121</v>
      </c>
      <c r="J12" s="7">
        <v>0</v>
      </c>
      <c r="K12" s="7">
        <f>11120+13881.8+6005.4+4914+1040</f>
        <v>36961.199999999997</v>
      </c>
      <c r="L12" s="7">
        <f t="shared" ref="L12" si="35">N12+O12</f>
        <v>0</v>
      </c>
      <c r="M12" s="7">
        <f t="shared" ref="M12" si="36">L12*100/E12</f>
        <v>0</v>
      </c>
      <c r="N12" s="7">
        <v>0</v>
      </c>
      <c r="O12" s="7">
        <v>0</v>
      </c>
      <c r="P12" s="7">
        <f t="shared" ref="P12" si="37">R12+S12</f>
        <v>38.80000000000291</v>
      </c>
      <c r="Q12" s="7">
        <f t="shared" ref="Q12" si="38">P12*100/E12</f>
        <v>0.10486486486487273</v>
      </c>
      <c r="R12" s="7">
        <f t="shared" ref="R12" si="39">F12-J12-N12</f>
        <v>0</v>
      </c>
      <c r="S12" s="7">
        <f t="shared" ref="S12" si="40">G12-K12-O12</f>
        <v>38.80000000000291</v>
      </c>
    </row>
    <row r="13" spans="1:20" ht="30" customHeight="1" x14ac:dyDescent="0.5">
      <c r="A13" s="15">
        <v>5</v>
      </c>
      <c r="B13" s="17" t="str">
        <f>[4]รายการสรุป!$E$6</f>
        <v>ซ่อมแซมคลองส่งน้ำสายทุ่งบวกนองอ่างเก็บน้ำห้วยเป้ง อ.เมืองปาน จ.ลำปาง</v>
      </c>
      <c r="C13" s="24" t="str">
        <f>[4]รายการสรุป!$I$6</f>
        <v>0700338006410FD4</v>
      </c>
      <c r="D13" s="6" t="s">
        <v>33</v>
      </c>
      <c r="E13" s="7">
        <f t="shared" ref="E13:E69" si="41">F13+G13</f>
        <v>43500</v>
      </c>
      <c r="F13" s="7">
        <v>0</v>
      </c>
      <c r="G13" s="8">
        <f>[4]รายการสรุป!$J$6</f>
        <v>43500</v>
      </c>
      <c r="H13" s="7">
        <f t="shared" ref="H13:H17" si="42">J13+K13</f>
        <v>43468.6</v>
      </c>
      <c r="I13" s="7">
        <f t="shared" ref="I13:I17" si="43">H13*100/E13</f>
        <v>99.927816091954028</v>
      </c>
      <c r="J13" s="7">
        <v>0</v>
      </c>
      <c r="K13" s="7">
        <f>6878+13881.8+6338+12810.8+3320+240</f>
        <v>43468.6</v>
      </c>
      <c r="L13" s="7">
        <f t="shared" ref="L13:L17" si="44">N13+O13</f>
        <v>0</v>
      </c>
      <c r="M13" s="7">
        <f t="shared" ref="M13:M17" si="45">L13*100/E13</f>
        <v>0</v>
      </c>
      <c r="N13" s="7">
        <v>0</v>
      </c>
      <c r="O13" s="7">
        <v>0</v>
      </c>
      <c r="P13" s="7">
        <f t="shared" ref="P13:P17" si="46">R13+S13</f>
        <v>31.400000000001455</v>
      </c>
      <c r="Q13" s="7">
        <f t="shared" ref="Q13:Q69" si="47">P13*100/E13</f>
        <v>7.2183908045980363E-2</v>
      </c>
      <c r="R13" s="7">
        <f t="shared" ref="R13:R17" si="48">F13-J13-N13</f>
        <v>0</v>
      </c>
      <c r="S13" s="7">
        <f t="shared" ref="S13:S17" si="49">G13-K13-O13</f>
        <v>31.400000000001455</v>
      </c>
    </row>
    <row r="14" spans="1:20" ht="30" customHeight="1" x14ac:dyDescent="0.5">
      <c r="A14" s="15">
        <v>6</v>
      </c>
      <c r="B14" s="17" t="str">
        <f>[4]รายการสรุป!$E$7</f>
        <v>ซ่อมแซมอ่างเก็บน้ำแม่ไพรตำบลวอแก้ว อ.ห้างฉัตร จ.ลำปาง</v>
      </c>
      <c r="C14" s="24" t="str">
        <f>[4]รายการสรุป!$I$7</f>
        <v>0700338006410FN2</v>
      </c>
      <c r="D14" s="6" t="s">
        <v>33</v>
      </c>
      <c r="E14" s="7">
        <f t="shared" si="41"/>
        <v>39000</v>
      </c>
      <c r="F14" s="7">
        <v>0</v>
      </c>
      <c r="G14" s="8">
        <f>[4]รายการสรุป!$J$7</f>
        <v>39000</v>
      </c>
      <c r="H14" s="7">
        <f t="shared" si="42"/>
        <v>38840</v>
      </c>
      <c r="I14" s="7">
        <f t="shared" si="43"/>
        <v>99.589743589743591</v>
      </c>
      <c r="J14" s="7">
        <v>0</v>
      </c>
      <c r="K14" s="7">
        <f>38600+240</f>
        <v>38840</v>
      </c>
      <c r="L14" s="7">
        <f t="shared" si="44"/>
        <v>0</v>
      </c>
      <c r="M14" s="7">
        <f t="shared" si="45"/>
        <v>0</v>
      </c>
      <c r="N14" s="7">
        <v>0</v>
      </c>
      <c r="O14" s="7">
        <v>0</v>
      </c>
      <c r="P14" s="7">
        <f t="shared" si="46"/>
        <v>160</v>
      </c>
      <c r="Q14" s="7">
        <f t="shared" si="47"/>
        <v>0.41025641025641024</v>
      </c>
      <c r="R14" s="7">
        <f t="shared" si="48"/>
        <v>0</v>
      </c>
      <c r="S14" s="7">
        <f t="shared" si="49"/>
        <v>160</v>
      </c>
    </row>
    <row r="15" spans="1:20" ht="30" customHeight="1" x14ac:dyDescent="0.5">
      <c r="A15" s="15">
        <v>7</v>
      </c>
      <c r="B15" s="17" t="str">
        <f>[4]รายการสรุป!$E$8</f>
        <v>ซ่อมแซมคลองส่งน้ำฝั่งซ้ายอ่างเก็บน้ำแม่ยาว อ.ห้างฉัตร จ.ลำปาง</v>
      </c>
      <c r="C15" s="24" t="str">
        <f>[4]รายการสรุป!$I$8</f>
        <v>0700338006410FN3</v>
      </c>
      <c r="D15" s="6" t="s">
        <v>33</v>
      </c>
      <c r="E15" s="7">
        <f t="shared" si="41"/>
        <v>40000</v>
      </c>
      <c r="F15" s="7">
        <v>0</v>
      </c>
      <c r="G15" s="8">
        <f>[4]รายการสรุป!$J$8</f>
        <v>40000</v>
      </c>
      <c r="H15" s="7">
        <f t="shared" si="42"/>
        <v>39691.199999999997</v>
      </c>
      <c r="I15" s="7">
        <f t="shared" si="43"/>
        <v>99.227999999999994</v>
      </c>
      <c r="J15" s="7">
        <v>0</v>
      </c>
      <c r="K15" s="7">
        <f>3578+3226+13881.8+6005.4+13000</f>
        <v>39691.199999999997</v>
      </c>
      <c r="L15" s="7">
        <f t="shared" si="44"/>
        <v>0</v>
      </c>
      <c r="M15" s="7">
        <f t="shared" si="45"/>
        <v>0</v>
      </c>
      <c r="N15" s="7">
        <v>0</v>
      </c>
      <c r="O15" s="7">
        <v>0</v>
      </c>
      <c r="P15" s="7">
        <f t="shared" si="46"/>
        <v>308.80000000000291</v>
      </c>
      <c r="Q15" s="7">
        <f t="shared" si="47"/>
        <v>0.77200000000000724</v>
      </c>
      <c r="R15" s="7">
        <f t="shared" si="48"/>
        <v>0</v>
      </c>
      <c r="S15" s="7">
        <f t="shared" si="49"/>
        <v>308.80000000000291</v>
      </c>
    </row>
    <row r="16" spans="1:20" ht="30" customHeight="1" x14ac:dyDescent="0.5">
      <c r="A16" s="15">
        <v>8</v>
      </c>
      <c r="B16" s="17" t="str">
        <f>[4]รายการสรุป!$E$9</f>
        <v>ซ่อมแซมระบบส่งน้ำอ่างเก็บน้ำห้วยไคร้ อ.เสริมงาน จ.ลำปาง</v>
      </c>
      <c r="C16" s="24" t="str">
        <f>[4]รายการสรุป!$I$9</f>
        <v>0700338006410FD5</v>
      </c>
      <c r="D16" s="6" t="s">
        <v>33</v>
      </c>
      <c r="E16" s="7">
        <f t="shared" si="41"/>
        <v>73000</v>
      </c>
      <c r="F16" s="7">
        <v>0</v>
      </c>
      <c r="G16" s="8">
        <f>[4]รายการสรุป!$J$9</f>
        <v>73000</v>
      </c>
      <c r="H16" s="7">
        <f t="shared" si="42"/>
        <v>70032.7</v>
      </c>
      <c r="I16" s="7">
        <f t="shared" si="43"/>
        <v>95.935205479452051</v>
      </c>
      <c r="J16" s="7">
        <v>0</v>
      </c>
      <c r="K16" s="7">
        <f>3840+13881.8+10570+28340+2560+6940.9+2620+1280</f>
        <v>70032.7</v>
      </c>
      <c r="L16" s="7">
        <f t="shared" si="44"/>
        <v>0</v>
      </c>
      <c r="M16" s="7">
        <f t="shared" si="45"/>
        <v>0</v>
      </c>
      <c r="N16" s="7">
        <v>0</v>
      </c>
      <c r="O16" s="7">
        <v>0</v>
      </c>
      <c r="P16" s="7">
        <f t="shared" si="46"/>
        <v>2967.3000000000029</v>
      </c>
      <c r="Q16" s="7">
        <f t="shared" si="47"/>
        <v>4.0647945205479488</v>
      </c>
      <c r="R16" s="7">
        <f t="shared" si="48"/>
        <v>0</v>
      </c>
      <c r="S16" s="7">
        <f t="shared" si="49"/>
        <v>2967.3000000000029</v>
      </c>
    </row>
    <row r="17" spans="1:19" ht="30" customHeight="1" x14ac:dyDescent="0.5">
      <c r="A17" s="15">
        <v>9</v>
      </c>
      <c r="B17" s="17" t="str">
        <f>[4]รายการสรุป!$E$10</f>
        <v>ซ่อมแซมคลองส่งน้ำอ่างเก็บน้ำแม่ไพร(เหมืองเจ๊ก) อ.ห้างฉัตร จ.ลำปาง</v>
      </c>
      <c r="C17" s="24" t="str">
        <f>[4]รายการสรุป!$I$10</f>
        <v>0700338006410FD6</v>
      </c>
      <c r="D17" s="6" t="s">
        <v>33</v>
      </c>
      <c r="E17" s="7">
        <f t="shared" si="41"/>
        <v>36000</v>
      </c>
      <c r="F17" s="7">
        <v>0</v>
      </c>
      <c r="G17" s="8">
        <f>[4]รายการสรุป!$J$10</f>
        <v>36000</v>
      </c>
      <c r="H17" s="7">
        <f t="shared" si="42"/>
        <v>34124.9</v>
      </c>
      <c r="I17" s="7">
        <f t="shared" si="43"/>
        <v>94.791388888888889</v>
      </c>
      <c r="J17" s="7">
        <v>0</v>
      </c>
      <c r="K17" s="7">
        <f>2320+4900+8818+1880+6940.9+3072+6194</f>
        <v>34124.9</v>
      </c>
      <c r="L17" s="7">
        <f t="shared" si="44"/>
        <v>0</v>
      </c>
      <c r="M17" s="7">
        <f t="shared" si="45"/>
        <v>0</v>
      </c>
      <c r="N17" s="7">
        <v>0</v>
      </c>
      <c r="O17" s="7">
        <v>0</v>
      </c>
      <c r="P17" s="7">
        <f t="shared" si="46"/>
        <v>1875.0999999999985</v>
      </c>
      <c r="Q17" s="7">
        <f t="shared" si="47"/>
        <v>5.2086111111111073</v>
      </c>
      <c r="R17" s="7">
        <f t="shared" si="48"/>
        <v>0</v>
      </c>
      <c r="S17" s="7">
        <f t="shared" si="49"/>
        <v>1875.0999999999985</v>
      </c>
    </row>
    <row r="18" spans="1:19" ht="30" customHeight="1" x14ac:dyDescent="0.5">
      <c r="A18" s="15"/>
      <c r="B18" s="17" t="str">
        <f>[5]รายการสรุป!$E$11</f>
        <v>ซ่อมแซมคลองส่งน้ำสาย1L-ขวาล่างอ่างเก็บน้ำห้วยเกี๋ยง จ.ลำปาง</v>
      </c>
      <c r="C18" s="24" t="str">
        <f>[5]รายการสรุป!$I$11</f>
        <v>0700338006410FD2</v>
      </c>
      <c r="D18" s="6" t="s">
        <v>77</v>
      </c>
      <c r="E18" s="7">
        <f t="shared" ref="E18" si="50">F18+G18</f>
        <v>72000</v>
      </c>
      <c r="F18" s="7">
        <v>0</v>
      </c>
      <c r="G18" s="8">
        <f>[5]รายการสรุป!$J$11</f>
        <v>72000</v>
      </c>
      <c r="H18" s="7">
        <f t="shared" ref="H18" si="51">J18+K18</f>
        <v>55017</v>
      </c>
      <c r="I18" s="7">
        <f t="shared" ref="I18" si="52">H18*100/E18</f>
        <v>76.412499999999994</v>
      </c>
      <c r="J18" s="7">
        <v>0</v>
      </c>
      <c r="K18" s="7">
        <f>14115+9200+7900+6202+4640+9840+3120</f>
        <v>55017</v>
      </c>
      <c r="L18" s="7">
        <f t="shared" ref="L18" si="53">N18+O18</f>
        <v>0</v>
      </c>
      <c r="M18" s="7">
        <f t="shared" ref="M18" si="54">L18*100/E18</f>
        <v>0</v>
      </c>
      <c r="N18" s="7">
        <v>0</v>
      </c>
      <c r="O18" s="7">
        <v>0</v>
      </c>
      <c r="P18" s="7">
        <f t="shared" ref="P18" si="55">R18+S18</f>
        <v>16983</v>
      </c>
      <c r="Q18" s="7">
        <f t="shared" ref="Q18" si="56">P18*100/E18</f>
        <v>23.587499999999999</v>
      </c>
      <c r="R18" s="7">
        <f t="shared" ref="R18" si="57">F18-J18-N18</f>
        <v>0</v>
      </c>
      <c r="S18" s="7">
        <f t="shared" ref="S18" si="58">G18-K18-O18</f>
        <v>16983</v>
      </c>
    </row>
    <row r="19" spans="1:19" ht="45.75" customHeight="1" x14ac:dyDescent="0.5">
      <c r="A19" s="15">
        <v>10</v>
      </c>
      <c r="B19" s="17" t="str">
        <f>[6]รายการสรุป!$E$5</f>
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</c>
      <c r="C19" s="24" t="str">
        <f>[6]รายการสรุป!$I$5</f>
        <v>0700338006410504</v>
      </c>
      <c r="D19" s="6" t="s">
        <v>55</v>
      </c>
      <c r="E19" s="7">
        <f t="shared" ref="E19" si="59">F19+G19</f>
        <v>27300</v>
      </c>
      <c r="F19" s="7">
        <v>0</v>
      </c>
      <c r="G19" s="8">
        <f>[6]รายการสรุป!$J$5</f>
        <v>27300</v>
      </c>
      <c r="H19" s="7">
        <f t="shared" ref="H19" si="60">J19+K19</f>
        <v>27243.599999999999</v>
      </c>
      <c r="I19" s="7">
        <f t="shared" ref="I19" si="61">H19*100/E19</f>
        <v>99.793406593406587</v>
      </c>
      <c r="J19" s="7">
        <v>0</v>
      </c>
      <c r="K19" s="7">
        <f>3342+3346+6940.9+4502.7+4392+2680+2040</f>
        <v>27243.599999999999</v>
      </c>
      <c r="L19" s="7">
        <f t="shared" ref="L19" si="62">N19+O19</f>
        <v>0</v>
      </c>
      <c r="M19" s="7">
        <f t="shared" ref="M19" si="63">L19*100/E19</f>
        <v>0</v>
      </c>
      <c r="N19" s="7">
        <v>0</v>
      </c>
      <c r="O19" s="7">
        <v>0</v>
      </c>
      <c r="P19" s="7">
        <f t="shared" ref="P19" si="64">R19+S19</f>
        <v>56.400000000001455</v>
      </c>
      <c r="Q19" s="7">
        <f t="shared" ref="Q19" si="65">P19*100/E19</f>
        <v>0.20659340659341191</v>
      </c>
      <c r="R19" s="7">
        <f t="shared" ref="R19" si="66">F19-J19-N19</f>
        <v>0</v>
      </c>
      <c r="S19" s="7">
        <f t="shared" ref="S19" si="67">G19-K19-O19</f>
        <v>56.400000000001455</v>
      </c>
    </row>
    <row r="20" spans="1:19" ht="43.5" customHeight="1" x14ac:dyDescent="0.5">
      <c r="A20" s="15">
        <v>11</v>
      </c>
      <c r="B20" s="17" t="str">
        <f>[6]รายการสรุป!$E$6</f>
        <v>ซ่อมแซมสะพานน้ำสาย 1R-1R-RMC อ่างเก็บน้ำแม่ทานโครงการชลประทานลำปางต.แม่กัวะ อ.สบปราบ จ.ลำปาง</v>
      </c>
      <c r="C20" s="24" t="str">
        <f>[6]รายการสรุป!$I$6</f>
        <v>0700338006410249</v>
      </c>
      <c r="D20" s="6" t="s">
        <v>55</v>
      </c>
      <c r="E20" s="7">
        <f t="shared" ref="E20:E49" si="68">F20+G20</f>
        <v>19000</v>
      </c>
      <c r="F20" s="7">
        <v>0</v>
      </c>
      <c r="G20" s="8">
        <f>[6]รายการสรุป!$J$6</f>
        <v>19000</v>
      </c>
      <c r="H20" s="7">
        <f t="shared" ref="H20:H49" si="69">J20+K20</f>
        <v>18761.8</v>
      </c>
      <c r="I20" s="7">
        <f t="shared" ref="I20:I49" si="70">H20*100/E20</f>
        <v>98.746315789473684</v>
      </c>
      <c r="J20" s="7">
        <v>0</v>
      </c>
      <c r="K20" s="7">
        <f>13881.8+4880</f>
        <v>18761.8</v>
      </c>
      <c r="L20" s="7">
        <f t="shared" ref="L20:L49" si="71">N20+O20</f>
        <v>0</v>
      </c>
      <c r="M20" s="7">
        <f t="shared" ref="M20:M49" si="72">L20*100/E20</f>
        <v>0</v>
      </c>
      <c r="N20" s="7">
        <v>0</v>
      </c>
      <c r="O20" s="7">
        <v>0</v>
      </c>
      <c r="P20" s="7">
        <f t="shared" ref="P20:P49" si="73">R20+S20</f>
        <v>238.20000000000073</v>
      </c>
      <c r="Q20" s="7">
        <f t="shared" ref="Q20:Q49" si="74">P20*100/E20</f>
        <v>1.2536842105263195</v>
      </c>
      <c r="R20" s="7">
        <f t="shared" ref="R20:R49" si="75">F20-J20-N20</f>
        <v>0</v>
      </c>
      <c r="S20" s="7">
        <f t="shared" ref="S20:S49" si="76">G20-K20-O20</f>
        <v>238.20000000000073</v>
      </c>
    </row>
    <row r="21" spans="1:19" ht="48" customHeight="1" x14ac:dyDescent="0.5">
      <c r="A21" s="15">
        <v>12</v>
      </c>
      <c r="B21" s="17" t="str">
        <f>[6]รายการสรุป!$E$7</f>
        <v>ซ่อมแซมทางระบายน้ำท้ายฝายยางประสบสุกโครงการชลประทานลำปาง ต.แม่สุก อ.แจ้ห่ม จ.ลำปาง</v>
      </c>
      <c r="C21" s="24" t="str">
        <f>[6]รายการสรุป!$I$7</f>
        <v>0700338006410506</v>
      </c>
      <c r="D21" s="6" t="s">
        <v>55</v>
      </c>
      <c r="E21" s="7">
        <f t="shared" si="68"/>
        <v>84100</v>
      </c>
      <c r="F21" s="7">
        <v>0</v>
      </c>
      <c r="G21" s="8">
        <f>[6]รายการสรุป!$J$7</f>
        <v>84100</v>
      </c>
      <c r="H21" s="7">
        <f t="shared" si="69"/>
        <v>84017.19</v>
      </c>
      <c r="I21" s="7">
        <f t="shared" si="70"/>
        <v>99.9015338882283</v>
      </c>
      <c r="J21" s="7">
        <v>0</v>
      </c>
      <c r="K21" s="7">
        <f>45915.6+7652.6+30448.99</f>
        <v>84017.19</v>
      </c>
      <c r="L21" s="7">
        <f t="shared" si="71"/>
        <v>0</v>
      </c>
      <c r="M21" s="7">
        <f t="shared" si="72"/>
        <v>0</v>
      </c>
      <c r="N21" s="7">
        <v>0</v>
      </c>
      <c r="O21" s="7">
        <v>0</v>
      </c>
      <c r="P21" s="7">
        <f t="shared" si="73"/>
        <v>82.809999999997672</v>
      </c>
      <c r="Q21" s="7">
        <f t="shared" si="74"/>
        <v>9.846611177169759E-2</v>
      </c>
      <c r="R21" s="7">
        <f t="shared" si="75"/>
        <v>0</v>
      </c>
      <c r="S21" s="7">
        <f t="shared" si="76"/>
        <v>82.809999999997672</v>
      </c>
    </row>
    <row r="22" spans="1:19" ht="44.25" customHeight="1" x14ac:dyDescent="0.5">
      <c r="A22" s="15">
        <v>13</v>
      </c>
      <c r="B22" s="17" t="str">
        <f>[6]รายการสรุป!$E$8</f>
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</c>
      <c r="C22" s="24" t="str">
        <f>[6]รายการสรุป!$I$8</f>
        <v>0700338006410507</v>
      </c>
      <c r="D22" s="6" t="s">
        <v>55</v>
      </c>
      <c r="E22" s="7">
        <f t="shared" si="68"/>
        <v>44300</v>
      </c>
      <c r="F22" s="7">
        <v>0</v>
      </c>
      <c r="G22" s="8">
        <f>[6]รายการสรุป!$J$8</f>
        <v>44300</v>
      </c>
      <c r="H22" s="7">
        <f t="shared" si="69"/>
        <v>44300</v>
      </c>
      <c r="I22" s="7">
        <f t="shared" si="70"/>
        <v>100</v>
      </c>
      <c r="J22" s="7">
        <v>0</v>
      </c>
      <c r="K22" s="7">
        <f>22830+21470</f>
        <v>44300</v>
      </c>
      <c r="L22" s="7">
        <f t="shared" si="71"/>
        <v>0</v>
      </c>
      <c r="M22" s="7">
        <f t="shared" si="72"/>
        <v>0</v>
      </c>
      <c r="N22" s="7">
        <v>0</v>
      </c>
      <c r="O22" s="7">
        <v>0</v>
      </c>
      <c r="P22" s="7">
        <f t="shared" si="73"/>
        <v>0</v>
      </c>
      <c r="Q22" s="7">
        <f t="shared" si="74"/>
        <v>0</v>
      </c>
      <c r="R22" s="7">
        <f t="shared" si="75"/>
        <v>0</v>
      </c>
      <c r="S22" s="7">
        <f t="shared" si="76"/>
        <v>0</v>
      </c>
    </row>
    <row r="23" spans="1:19" ht="30" customHeight="1" x14ac:dyDescent="0.5">
      <c r="A23" s="15">
        <v>14</v>
      </c>
      <c r="B23" s="17" t="str">
        <f>[6]รายการสรุป!$E$9</f>
        <v>ซ่อมแซมอ่างเก็บน้ำแม่ฟอกโครงการชลประทานลำปางเสริมซ้าย อ.เสริมงาม จ.ลำปาง</v>
      </c>
      <c r="C23" s="24" t="str">
        <f>[6]รายการสรุป!$I$9</f>
        <v>0700338006410250</v>
      </c>
      <c r="D23" s="6" t="s">
        <v>55</v>
      </c>
      <c r="E23" s="7">
        <f t="shared" si="68"/>
        <v>44000</v>
      </c>
      <c r="F23" s="7">
        <v>0</v>
      </c>
      <c r="G23" s="8">
        <f>[6]รายการสรุป!$J$9</f>
        <v>44000</v>
      </c>
      <c r="H23" s="7">
        <f t="shared" si="69"/>
        <v>43881.599999999999</v>
      </c>
      <c r="I23" s="7">
        <f t="shared" si="70"/>
        <v>99.730909090909094</v>
      </c>
      <c r="J23" s="7">
        <v>0</v>
      </c>
      <c r="K23" s="7">
        <f>14918+13881.8+1200+13881.8</f>
        <v>43881.599999999999</v>
      </c>
      <c r="L23" s="7">
        <f t="shared" si="71"/>
        <v>0</v>
      </c>
      <c r="M23" s="7">
        <f t="shared" si="72"/>
        <v>0</v>
      </c>
      <c r="N23" s="7">
        <v>0</v>
      </c>
      <c r="O23" s="7">
        <v>0</v>
      </c>
      <c r="P23" s="7">
        <f t="shared" si="73"/>
        <v>118.40000000000146</v>
      </c>
      <c r="Q23" s="7">
        <f t="shared" si="74"/>
        <v>0.26909090909091238</v>
      </c>
      <c r="R23" s="7">
        <f t="shared" si="75"/>
        <v>0</v>
      </c>
      <c r="S23" s="7">
        <f t="shared" si="76"/>
        <v>118.40000000000146</v>
      </c>
    </row>
    <row r="24" spans="1:19" ht="45.75" customHeight="1" x14ac:dyDescent="0.5">
      <c r="A24" s="15">
        <v>15</v>
      </c>
      <c r="B24" s="17" t="str">
        <f>[6]รายการสรุป!$E$10</f>
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</c>
      <c r="C24" s="24" t="str">
        <f>[6]รายการสรุป!$I$10</f>
        <v>0700338006410508</v>
      </c>
      <c r="D24" s="6" t="s">
        <v>55</v>
      </c>
      <c r="E24" s="7">
        <f t="shared" si="68"/>
        <v>3000</v>
      </c>
      <c r="F24" s="7">
        <v>0</v>
      </c>
      <c r="G24" s="8">
        <f>[6]รายการสรุป!$J$10</f>
        <v>3000</v>
      </c>
      <c r="H24" s="7">
        <f t="shared" si="69"/>
        <v>2800</v>
      </c>
      <c r="I24" s="7">
        <f t="shared" si="70"/>
        <v>93.333333333333329</v>
      </c>
      <c r="J24" s="7">
        <v>0</v>
      </c>
      <c r="K24" s="7">
        <f>2320+480</f>
        <v>2800</v>
      </c>
      <c r="L24" s="7">
        <f t="shared" si="71"/>
        <v>0</v>
      </c>
      <c r="M24" s="7">
        <f t="shared" si="72"/>
        <v>0</v>
      </c>
      <c r="N24" s="7">
        <v>0</v>
      </c>
      <c r="O24" s="7">
        <v>0</v>
      </c>
      <c r="P24" s="7">
        <f t="shared" si="73"/>
        <v>200</v>
      </c>
      <c r="Q24" s="7">
        <f t="shared" si="74"/>
        <v>6.666666666666667</v>
      </c>
      <c r="R24" s="7">
        <f t="shared" si="75"/>
        <v>0</v>
      </c>
      <c r="S24" s="7">
        <f t="shared" si="76"/>
        <v>200</v>
      </c>
    </row>
    <row r="25" spans="1:19" ht="30" customHeight="1" x14ac:dyDescent="0.5">
      <c r="A25" s="15">
        <v>16</v>
      </c>
      <c r="B25" s="17" t="str">
        <f>[6]รายการสรุป!$E$11</f>
        <v>ซ่อมแซมอ่างเก็บน้ำแม่ยามใน โครงการชลประทานลำปาง ต.เมืองยาว อ.ห้างฉัตร จ.ลำปาง</v>
      </c>
      <c r="C25" s="24" t="str">
        <f>[6]รายการสรุป!$I$11</f>
        <v>0700338006410509</v>
      </c>
      <c r="D25" s="6" t="s">
        <v>55</v>
      </c>
      <c r="E25" s="7">
        <f t="shared" si="68"/>
        <v>39000</v>
      </c>
      <c r="F25" s="7">
        <v>0</v>
      </c>
      <c r="G25" s="8">
        <f>[6]รายการสรุป!$J$11</f>
        <v>39000</v>
      </c>
      <c r="H25" s="7">
        <f t="shared" si="69"/>
        <v>38998</v>
      </c>
      <c r="I25" s="7">
        <f t="shared" si="70"/>
        <v>99.994871794871798</v>
      </c>
      <c r="J25" s="7">
        <v>0</v>
      </c>
      <c r="K25" s="7">
        <f>26559+7435+240+4764</f>
        <v>38998</v>
      </c>
      <c r="L25" s="7">
        <f t="shared" si="71"/>
        <v>0</v>
      </c>
      <c r="M25" s="7">
        <f t="shared" si="72"/>
        <v>0</v>
      </c>
      <c r="N25" s="7">
        <v>0</v>
      </c>
      <c r="O25" s="7">
        <v>0</v>
      </c>
      <c r="P25" s="7">
        <f t="shared" si="73"/>
        <v>2</v>
      </c>
      <c r="Q25" s="7">
        <f t="shared" si="74"/>
        <v>5.1282051282051282E-3</v>
      </c>
      <c r="R25" s="7">
        <f t="shared" si="75"/>
        <v>0</v>
      </c>
      <c r="S25" s="7">
        <f t="shared" si="76"/>
        <v>2</v>
      </c>
    </row>
    <row r="26" spans="1:19" ht="48" customHeight="1" x14ac:dyDescent="0.5">
      <c r="A26" s="15">
        <v>17</v>
      </c>
      <c r="B26" s="17" t="str">
        <f>[6]รายการสรุป!$E$12</f>
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</c>
      <c r="C26" s="24" t="str">
        <f>[6]รายการสรุป!$I$12</f>
        <v>0700338006410510</v>
      </c>
      <c r="D26" s="6" t="s">
        <v>55</v>
      </c>
      <c r="E26" s="7">
        <f t="shared" si="68"/>
        <v>44100</v>
      </c>
      <c r="F26" s="7">
        <v>0</v>
      </c>
      <c r="G26" s="8">
        <f>[6]รายการสรุป!$J$12</f>
        <v>44100</v>
      </c>
      <c r="H26" s="7">
        <f t="shared" si="69"/>
        <v>43919.35</v>
      </c>
      <c r="I26" s="7">
        <f t="shared" si="70"/>
        <v>99.59036281179138</v>
      </c>
      <c r="J26" s="7">
        <v>0</v>
      </c>
      <c r="K26" s="7">
        <f>9779.95+6405.4+9258+13305+5171</f>
        <v>43919.35</v>
      </c>
      <c r="L26" s="7">
        <f t="shared" si="71"/>
        <v>0</v>
      </c>
      <c r="M26" s="7">
        <f t="shared" si="72"/>
        <v>0</v>
      </c>
      <c r="N26" s="7">
        <v>0</v>
      </c>
      <c r="O26" s="7">
        <v>0</v>
      </c>
      <c r="P26" s="7">
        <f t="shared" si="73"/>
        <v>180.65000000000146</v>
      </c>
      <c r="Q26" s="7">
        <f t="shared" si="74"/>
        <v>0.40963718820862011</v>
      </c>
      <c r="R26" s="7">
        <f t="shared" si="75"/>
        <v>0</v>
      </c>
      <c r="S26" s="7">
        <f t="shared" si="76"/>
        <v>180.65000000000146</v>
      </c>
    </row>
    <row r="27" spans="1:19" ht="39" customHeight="1" x14ac:dyDescent="0.5">
      <c r="A27" s="15">
        <v>18</v>
      </c>
      <c r="B27" s="17" t="str">
        <f>[6]รายการสรุป!$E$13</f>
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</c>
      <c r="C27" s="24" t="str">
        <f>[6]รายการสรุป!$I$13</f>
        <v>0700338006410511</v>
      </c>
      <c r="D27" s="6" t="s">
        <v>55</v>
      </c>
      <c r="E27" s="7">
        <f t="shared" si="68"/>
        <v>2500</v>
      </c>
      <c r="F27" s="7">
        <v>0</v>
      </c>
      <c r="G27" s="8">
        <f>[6]รายการสรุป!$J$13</f>
        <v>2500</v>
      </c>
      <c r="H27" s="7">
        <f t="shared" si="69"/>
        <v>2320</v>
      </c>
      <c r="I27" s="7">
        <f t="shared" si="70"/>
        <v>92.8</v>
      </c>
      <c r="J27" s="7">
        <v>0</v>
      </c>
      <c r="K27" s="7">
        <f>2320</f>
        <v>2320</v>
      </c>
      <c r="L27" s="7">
        <f t="shared" si="71"/>
        <v>0</v>
      </c>
      <c r="M27" s="7">
        <f t="shared" si="72"/>
        <v>0</v>
      </c>
      <c r="N27" s="7">
        <v>0</v>
      </c>
      <c r="O27" s="7">
        <v>0</v>
      </c>
      <c r="P27" s="7">
        <f t="shared" si="73"/>
        <v>180</v>
      </c>
      <c r="Q27" s="7">
        <f t="shared" si="74"/>
        <v>7.2</v>
      </c>
      <c r="R27" s="7">
        <f t="shared" si="75"/>
        <v>0</v>
      </c>
      <c r="S27" s="7">
        <f t="shared" si="76"/>
        <v>180</v>
      </c>
    </row>
    <row r="28" spans="1:19" ht="47.25" customHeight="1" x14ac:dyDescent="0.5">
      <c r="A28" s="15">
        <v>19</v>
      </c>
      <c r="B28" s="17" t="str">
        <f>[6]รายการสรุป!$E$14</f>
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</c>
      <c r="C28" s="24" t="str">
        <f>[6]รายการสรุป!$I$14</f>
        <v>0700338006410286</v>
      </c>
      <c r="D28" s="6" t="s">
        <v>55</v>
      </c>
      <c r="E28" s="7">
        <f t="shared" si="68"/>
        <v>29000</v>
      </c>
      <c r="F28" s="7">
        <v>0</v>
      </c>
      <c r="G28" s="8">
        <f>[6]รายการสรุป!$J$14</f>
        <v>29000</v>
      </c>
      <c r="H28" s="7">
        <f t="shared" si="69"/>
        <v>28960</v>
      </c>
      <c r="I28" s="7">
        <f t="shared" si="70"/>
        <v>99.862068965517238</v>
      </c>
      <c r="J28" s="7">
        <v>0</v>
      </c>
      <c r="K28" s="7">
        <f>28960</f>
        <v>28960</v>
      </c>
      <c r="L28" s="7">
        <f t="shared" si="71"/>
        <v>0</v>
      </c>
      <c r="M28" s="7">
        <f t="shared" si="72"/>
        <v>0</v>
      </c>
      <c r="N28" s="7">
        <v>0</v>
      </c>
      <c r="O28" s="7">
        <v>0</v>
      </c>
      <c r="P28" s="7">
        <f t="shared" si="73"/>
        <v>40</v>
      </c>
      <c r="Q28" s="7">
        <f t="shared" si="74"/>
        <v>0.13793103448275862</v>
      </c>
      <c r="R28" s="7">
        <f t="shared" si="75"/>
        <v>0</v>
      </c>
      <c r="S28" s="7">
        <f t="shared" si="76"/>
        <v>40</v>
      </c>
    </row>
    <row r="29" spans="1:19" ht="44.25" customHeight="1" x14ac:dyDescent="0.5">
      <c r="A29" s="15">
        <v>20</v>
      </c>
      <c r="B29" s="17" t="str">
        <f>[6]รายการสรุป!$E$15</f>
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</c>
      <c r="C29" s="24" t="str">
        <f>[6]รายการสรุป!$I$15</f>
        <v>0700338006410604</v>
      </c>
      <c r="D29" s="6" t="s">
        <v>55</v>
      </c>
      <c r="E29" s="7">
        <f t="shared" si="68"/>
        <v>82000</v>
      </c>
      <c r="F29" s="7">
        <v>0</v>
      </c>
      <c r="G29" s="8">
        <f>[6]รายการสรุป!$J$15</f>
        <v>82000</v>
      </c>
      <c r="H29" s="7">
        <f t="shared" si="69"/>
        <v>81965</v>
      </c>
      <c r="I29" s="7">
        <f t="shared" si="70"/>
        <v>99.957317073170728</v>
      </c>
      <c r="J29" s="7">
        <v>0</v>
      </c>
      <c r="K29" s="7">
        <f>240+40800+30245+10200+480</f>
        <v>81965</v>
      </c>
      <c r="L29" s="7">
        <f t="shared" si="71"/>
        <v>0</v>
      </c>
      <c r="M29" s="7">
        <f t="shared" si="72"/>
        <v>0</v>
      </c>
      <c r="N29" s="7">
        <v>0</v>
      </c>
      <c r="O29" s="7">
        <v>0</v>
      </c>
      <c r="P29" s="7">
        <f t="shared" si="73"/>
        <v>35</v>
      </c>
      <c r="Q29" s="7">
        <f t="shared" si="74"/>
        <v>4.2682926829268296E-2</v>
      </c>
      <c r="R29" s="7">
        <f t="shared" si="75"/>
        <v>0</v>
      </c>
      <c r="S29" s="7">
        <f t="shared" si="76"/>
        <v>35</v>
      </c>
    </row>
    <row r="30" spans="1:19" ht="45" customHeight="1" x14ac:dyDescent="0.5">
      <c r="A30" s="15">
        <v>21</v>
      </c>
      <c r="B30" s="17" t="str">
        <f>[6]รายการสรุป!$E$16</f>
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</c>
      <c r="C30" s="24" t="str">
        <f>[6]รายการสรุป!$I$16</f>
        <v>0700338006410606</v>
      </c>
      <c r="D30" s="6" t="s">
        <v>55</v>
      </c>
      <c r="E30" s="7">
        <f t="shared" si="68"/>
        <v>28900</v>
      </c>
      <c r="F30" s="7">
        <v>0</v>
      </c>
      <c r="G30" s="8">
        <f>[6]รายการสรุป!$J$16</f>
        <v>28900</v>
      </c>
      <c r="H30" s="7">
        <f t="shared" si="69"/>
        <v>28853</v>
      </c>
      <c r="I30" s="7">
        <f t="shared" si="70"/>
        <v>99.837370242214533</v>
      </c>
      <c r="J30" s="7">
        <v>0</v>
      </c>
      <c r="K30" s="7">
        <f>23153+5700</f>
        <v>28853</v>
      </c>
      <c r="L30" s="7">
        <f t="shared" si="71"/>
        <v>0</v>
      </c>
      <c r="M30" s="7">
        <f t="shared" si="72"/>
        <v>0</v>
      </c>
      <c r="N30" s="7">
        <v>0</v>
      </c>
      <c r="O30" s="7">
        <v>0</v>
      </c>
      <c r="P30" s="7">
        <f t="shared" si="73"/>
        <v>47</v>
      </c>
      <c r="Q30" s="7">
        <f t="shared" si="74"/>
        <v>0.16262975778546712</v>
      </c>
      <c r="R30" s="7">
        <f t="shared" si="75"/>
        <v>0</v>
      </c>
      <c r="S30" s="7">
        <f t="shared" si="76"/>
        <v>47</v>
      </c>
    </row>
    <row r="31" spans="1:19" ht="46.5" customHeight="1" x14ac:dyDescent="0.5">
      <c r="A31" s="15">
        <v>22</v>
      </c>
      <c r="B31" s="17" t="str">
        <f>[6]รายการสรุป!$E$17</f>
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</c>
      <c r="C31" s="24" t="str">
        <f>[6]รายการสรุป!$I$17</f>
        <v>0700338006410288</v>
      </c>
      <c r="D31" s="6" t="s">
        <v>55</v>
      </c>
      <c r="E31" s="7">
        <f t="shared" si="68"/>
        <v>17900</v>
      </c>
      <c r="F31" s="7">
        <v>0</v>
      </c>
      <c r="G31" s="8">
        <f>[6]รายการสรุป!$J$17</f>
        <v>17900</v>
      </c>
      <c r="H31" s="7">
        <f t="shared" si="69"/>
        <v>17840</v>
      </c>
      <c r="I31" s="7">
        <f t="shared" si="70"/>
        <v>99.664804469273747</v>
      </c>
      <c r="J31" s="7">
        <v>0</v>
      </c>
      <c r="K31" s="7">
        <f>17840</f>
        <v>17840</v>
      </c>
      <c r="L31" s="7">
        <f t="shared" si="71"/>
        <v>0</v>
      </c>
      <c r="M31" s="7">
        <f t="shared" si="72"/>
        <v>0</v>
      </c>
      <c r="N31" s="7">
        <v>0</v>
      </c>
      <c r="O31" s="7">
        <v>0</v>
      </c>
      <c r="P31" s="7">
        <f t="shared" si="73"/>
        <v>60</v>
      </c>
      <c r="Q31" s="7">
        <f t="shared" si="74"/>
        <v>0.33519553072625696</v>
      </c>
      <c r="R31" s="7">
        <f t="shared" si="75"/>
        <v>0</v>
      </c>
      <c r="S31" s="7">
        <f t="shared" si="76"/>
        <v>60</v>
      </c>
    </row>
    <row r="32" spans="1:19" ht="46.5" customHeight="1" x14ac:dyDescent="0.5">
      <c r="A32" s="15">
        <v>23</v>
      </c>
      <c r="B32" s="17" t="str">
        <f>[6]รายการสรุป!$E$18</f>
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</c>
      <c r="C32" s="24" t="str">
        <f>[6]รายการสรุป!$I$18</f>
        <v>0700338006410607</v>
      </c>
      <c r="D32" s="6" t="s">
        <v>55</v>
      </c>
      <c r="E32" s="7">
        <f t="shared" si="68"/>
        <v>44000</v>
      </c>
      <c r="F32" s="7">
        <v>0</v>
      </c>
      <c r="G32" s="8">
        <f>[6]รายการสรุป!$J$18</f>
        <v>44000</v>
      </c>
      <c r="H32" s="7">
        <f t="shared" si="69"/>
        <v>43935</v>
      </c>
      <c r="I32" s="7">
        <f t="shared" si="70"/>
        <v>99.852272727272734</v>
      </c>
      <c r="J32" s="7">
        <v>0</v>
      </c>
      <c r="K32" s="7">
        <f>2320+22470+5920+12265+960</f>
        <v>43935</v>
      </c>
      <c r="L32" s="7">
        <f t="shared" si="71"/>
        <v>0</v>
      </c>
      <c r="M32" s="7">
        <f t="shared" si="72"/>
        <v>0</v>
      </c>
      <c r="N32" s="7">
        <v>0</v>
      </c>
      <c r="O32" s="7">
        <v>0</v>
      </c>
      <c r="P32" s="7">
        <f t="shared" si="73"/>
        <v>65</v>
      </c>
      <c r="Q32" s="7">
        <f t="shared" si="74"/>
        <v>0.14772727272727273</v>
      </c>
      <c r="R32" s="7">
        <f t="shared" si="75"/>
        <v>0</v>
      </c>
      <c r="S32" s="7">
        <f t="shared" si="76"/>
        <v>65</v>
      </c>
    </row>
    <row r="33" spans="1:19" ht="54" customHeight="1" x14ac:dyDescent="0.5">
      <c r="A33" s="15">
        <v>24</v>
      </c>
      <c r="B33" s="17" t="str">
        <f>[6]รายการสรุป!$E$19</f>
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</c>
      <c r="C33" s="24" t="str">
        <f>[6]รายการสรุป!$I$19</f>
        <v>0700338006410289</v>
      </c>
      <c r="D33" s="6" t="s">
        <v>55</v>
      </c>
      <c r="E33" s="7">
        <f t="shared" si="68"/>
        <v>22000</v>
      </c>
      <c r="F33" s="7">
        <v>0</v>
      </c>
      <c r="G33" s="8">
        <f>[6]รายการสรุป!$J$19</f>
        <v>22000</v>
      </c>
      <c r="H33" s="7">
        <f t="shared" si="69"/>
        <v>22000</v>
      </c>
      <c r="I33" s="7">
        <f t="shared" si="70"/>
        <v>100</v>
      </c>
      <c r="J33" s="7">
        <v>0</v>
      </c>
      <c r="K33" s="7">
        <f>22000</f>
        <v>22000</v>
      </c>
      <c r="L33" s="7">
        <f t="shared" si="71"/>
        <v>0</v>
      </c>
      <c r="M33" s="7">
        <f t="shared" si="72"/>
        <v>0</v>
      </c>
      <c r="N33" s="7">
        <v>0</v>
      </c>
      <c r="O33" s="7">
        <v>0</v>
      </c>
      <c r="P33" s="7">
        <f t="shared" si="73"/>
        <v>0</v>
      </c>
      <c r="Q33" s="7">
        <f t="shared" si="74"/>
        <v>0</v>
      </c>
      <c r="R33" s="7">
        <f t="shared" si="75"/>
        <v>0</v>
      </c>
      <c r="S33" s="7">
        <f t="shared" si="76"/>
        <v>0</v>
      </c>
    </row>
    <row r="34" spans="1:19" ht="47.25" customHeight="1" x14ac:dyDescent="0.5">
      <c r="A34" s="15">
        <v>25</v>
      </c>
      <c r="B34" s="17" t="str">
        <f>[6]รายการสรุป!$E$20</f>
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</c>
      <c r="C34" s="24" t="str">
        <f>[6]รายการสรุป!$I$20</f>
        <v>0700338006410294</v>
      </c>
      <c r="D34" s="6" t="s">
        <v>55</v>
      </c>
      <c r="E34" s="7">
        <f t="shared" si="68"/>
        <v>16500</v>
      </c>
      <c r="F34" s="7">
        <v>0</v>
      </c>
      <c r="G34" s="8">
        <f>[6]รายการสรุป!$J$20</f>
        <v>16500</v>
      </c>
      <c r="H34" s="7">
        <f t="shared" si="69"/>
        <v>16235.5</v>
      </c>
      <c r="I34" s="7">
        <f t="shared" si="70"/>
        <v>98.396969696969691</v>
      </c>
      <c r="J34" s="7">
        <v>0</v>
      </c>
      <c r="K34" s="7">
        <f>4431+480+6940.9+3903.6+480</f>
        <v>16235.5</v>
      </c>
      <c r="L34" s="7">
        <f t="shared" si="71"/>
        <v>0</v>
      </c>
      <c r="M34" s="7">
        <f t="shared" si="72"/>
        <v>0</v>
      </c>
      <c r="N34" s="7">
        <v>0</v>
      </c>
      <c r="O34" s="7">
        <v>0</v>
      </c>
      <c r="P34" s="7">
        <f t="shared" si="73"/>
        <v>264.5</v>
      </c>
      <c r="Q34" s="7">
        <f t="shared" si="74"/>
        <v>1.603030303030303</v>
      </c>
      <c r="R34" s="7">
        <f t="shared" si="75"/>
        <v>0</v>
      </c>
      <c r="S34" s="7">
        <f t="shared" si="76"/>
        <v>264.5</v>
      </c>
    </row>
    <row r="35" spans="1:19" ht="30" customHeight="1" x14ac:dyDescent="0.5">
      <c r="A35" s="15">
        <v>26</v>
      </c>
      <c r="B35" s="17" t="str">
        <f>[6]รายการสรุป!$E$21</f>
        <v>ซ่อมแซมโรงจอดรถยนต์โครงการส่งน้ำและบำรุงรักษาแม่วัง ต.บ้านแลง อ.เมืองลำปาง จ.ลำปาง</v>
      </c>
      <c r="C35" s="24" t="str">
        <f>[6]รายการสรุป!$I$21</f>
        <v>0700338006410295</v>
      </c>
      <c r="D35" s="6" t="s">
        <v>55</v>
      </c>
      <c r="E35" s="7">
        <f t="shared" si="68"/>
        <v>23100</v>
      </c>
      <c r="F35" s="7">
        <v>0</v>
      </c>
      <c r="G35" s="8">
        <f>[6]รายการสรุป!$J$21</f>
        <v>23100</v>
      </c>
      <c r="H35" s="7">
        <f t="shared" si="69"/>
        <v>22946.3</v>
      </c>
      <c r="I35" s="7">
        <f t="shared" si="70"/>
        <v>99.334632034632037</v>
      </c>
      <c r="J35" s="7">
        <v>0</v>
      </c>
      <c r="K35" s="7">
        <f>6940.9+7205.4+4398+4402</f>
        <v>22946.3</v>
      </c>
      <c r="L35" s="7">
        <f t="shared" si="71"/>
        <v>0</v>
      </c>
      <c r="M35" s="7">
        <f t="shared" si="72"/>
        <v>0</v>
      </c>
      <c r="N35" s="7">
        <v>0</v>
      </c>
      <c r="O35" s="7">
        <v>0</v>
      </c>
      <c r="P35" s="7">
        <f t="shared" si="73"/>
        <v>153.70000000000073</v>
      </c>
      <c r="Q35" s="7">
        <f t="shared" si="74"/>
        <v>0.66536796536796849</v>
      </c>
      <c r="R35" s="7">
        <f t="shared" si="75"/>
        <v>0</v>
      </c>
      <c r="S35" s="7">
        <f t="shared" si="76"/>
        <v>153.70000000000073</v>
      </c>
    </row>
    <row r="36" spans="1:19" ht="49.5" customHeight="1" x14ac:dyDescent="0.5">
      <c r="A36" s="15">
        <v>27</v>
      </c>
      <c r="B36" s="17" t="str">
        <f>[6]รายการสรุป!$E$22</f>
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</c>
      <c r="C36" s="24" t="str">
        <f>[6]รายการสรุป!$I$22</f>
        <v>0700338006410617</v>
      </c>
      <c r="D36" s="6" t="s">
        <v>55</v>
      </c>
      <c r="E36" s="7">
        <f t="shared" si="68"/>
        <v>28800</v>
      </c>
      <c r="F36" s="7">
        <v>0</v>
      </c>
      <c r="G36" s="8">
        <f>[6]รายการสรุป!$J$22</f>
        <v>28800</v>
      </c>
      <c r="H36" s="7">
        <f t="shared" si="69"/>
        <v>28774.300000000003</v>
      </c>
      <c r="I36" s="7">
        <f t="shared" si="70"/>
        <v>99.910763888888908</v>
      </c>
      <c r="J36" s="7">
        <v>0</v>
      </c>
      <c r="K36" s="7">
        <f>7768+4640+6940.9+7205.4+2220</f>
        <v>28774.300000000003</v>
      </c>
      <c r="L36" s="7">
        <f t="shared" si="71"/>
        <v>0</v>
      </c>
      <c r="M36" s="7">
        <f t="shared" si="72"/>
        <v>0</v>
      </c>
      <c r="N36" s="7">
        <v>0</v>
      </c>
      <c r="O36" s="7">
        <v>0</v>
      </c>
      <c r="P36" s="7">
        <f t="shared" si="73"/>
        <v>25.69999999999709</v>
      </c>
      <c r="Q36" s="7">
        <f t="shared" si="74"/>
        <v>8.923611111110101E-2</v>
      </c>
      <c r="R36" s="7">
        <f t="shared" si="75"/>
        <v>0</v>
      </c>
      <c r="S36" s="7">
        <f t="shared" si="76"/>
        <v>25.69999999999709</v>
      </c>
    </row>
    <row r="37" spans="1:19" ht="45" customHeight="1" x14ac:dyDescent="0.5">
      <c r="A37" s="15">
        <v>28</v>
      </c>
      <c r="B37" s="17" t="str">
        <f>[6]รายการสรุป!$E$23</f>
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</c>
      <c r="C37" s="24" t="str">
        <f>[6]รายการสรุป!$I$23</f>
        <v>0700338006410296</v>
      </c>
      <c r="D37" s="6" t="s">
        <v>55</v>
      </c>
      <c r="E37" s="7">
        <f t="shared" si="68"/>
        <v>6900</v>
      </c>
      <c r="F37" s="7">
        <v>0</v>
      </c>
      <c r="G37" s="8">
        <f>[6]รายการสรุป!$J$23</f>
        <v>6900</v>
      </c>
      <c r="H37" s="7">
        <f t="shared" si="69"/>
        <v>6887.91</v>
      </c>
      <c r="I37" s="7">
        <f t="shared" si="70"/>
        <v>99.824782608695656</v>
      </c>
      <c r="J37" s="7">
        <v>0</v>
      </c>
      <c r="K37" s="7">
        <f>6887.91</f>
        <v>6887.91</v>
      </c>
      <c r="L37" s="7">
        <f t="shared" si="71"/>
        <v>0</v>
      </c>
      <c r="M37" s="7">
        <f t="shared" si="72"/>
        <v>0</v>
      </c>
      <c r="N37" s="7">
        <v>0</v>
      </c>
      <c r="O37" s="7">
        <v>0</v>
      </c>
      <c r="P37" s="7">
        <f t="shared" si="73"/>
        <v>12.090000000000146</v>
      </c>
      <c r="Q37" s="7">
        <f t="shared" si="74"/>
        <v>0.17521739130434993</v>
      </c>
      <c r="R37" s="7">
        <f t="shared" si="75"/>
        <v>0</v>
      </c>
      <c r="S37" s="7">
        <f t="shared" si="76"/>
        <v>12.090000000000146</v>
      </c>
    </row>
    <row r="38" spans="1:19" ht="46.5" customHeight="1" x14ac:dyDescent="0.5">
      <c r="A38" s="15">
        <v>29</v>
      </c>
      <c r="B38" s="17" t="str">
        <f>[6]รายการสรุป!$E$24</f>
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</c>
      <c r="C38" s="24" t="str">
        <f>[6]รายการสรุป!$I$24</f>
        <v>0700338006410618</v>
      </c>
      <c r="D38" s="6" t="s">
        <v>55</v>
      </c>
      <c r="E38" s="7">
        <f t="shared" si="68"/>
        <v>23000</v>
      </c>
      <c r="F38" s="7">
        <v>0</v>
      </c>
      <c r="G38" s="8">
        <f>[6]รายการสรุป!$J$24</f>
        <v>23000</v>
      </c>
      <c r="H38" s="7">
        <f t="shared" si="69"/>
        <v>22924.6</v>
      </c>
      <c r="I38" s="7">
        <f t="shared" si="70"/>
        <v>99.67217391304348</v>
      </c>
      <c r="J38" s="7">
        <v>0</v>
      </c>
      <c r="K38" s="7">
        <f>6361+240+6940.9+2201.8+6940.9+240</f>
        <v>22924.6</v>
      </c>
      <c r="L38" s="7">
        <f t="shared" si="71"/>
        <v>0</v>
      </c>
      <c r="M38" s="7">
        <f t="shared" si="72"/>
        <v>0</v>
      </c>
      <c r="N38" s="7">
        <v>0</v>
      </c>
      <c r="O38" s="7">
        <v>0</v>
      </c>
      <c r="P38" s="7">
        <f t="shared" si="73"/>
        <v>75.400000000001455</v>
      </c>
      <c r="Q38" s="7">
        <f t="shared" si="74"/>
        <v>0.32782608695652804</v>
      </c>
      <c r="R38" s="7">
        <f t="shared" si="75"/>
        <v>0</v>
      </c>
      <c r="S38" s="7">
        <f t="shared" si="76"/>
        <v>75.400000000001455</v>
      </c>
    </row>
    <row r="39" spans="1:19" ht="43.5" customHeight="1" x14ac:dyDescent="0.5">
      <c r="A39" s="15">
        <v>30</v>
      </c>
      <c r="B39" s="17" t="str">
        <f>[7]รายการสรุป!$E$5</f>
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</c>
      <c r="C39" s="24" t="str">
        <f>[7]รายการสรุป!$I$5</f>
        <v>0700338006410297</v>
      </c>
      <c r="D39" s="6" t="s">
        <v>55</v>
      </c>
      <c r="E39" s="7">
        <f t="shared" si="68"/>
        <v>13200</v>
      </c>
      <c r="F39" s="7">
        <v>0</v>
      </c>
      <c r="G39" s="8">
        <f>[7]รายการสรุป!$J$5</f>
        <v>13200</v>
      </c>
      <c r="H39" s="7">
        <f t="shared" si="69"/>
        <v>13200</v>
      </c>
      <c r="I39" s="7">
        <f t="shared" si="70"/>
        <v>100</v>
      </c>
      <c r="J39" s="7">
        <v>0</v>
      </c>
      <c r="K39" s="7">
        <f>13200</f>
        <v>13200</v>
      </c>
      <c r="L39" s="7">
        <f t="shared" si="71"/>
        <v>0</v>
      </c>
      <c r="M39" s="7">
        <f t="shared" si="72"/>
        <v>0</v>
      </c>
      <c r="N39" s="7">
        <v>0</v>
      </c>
      <c r="O39" s="7">
        <v>0</v>
      </c>
      <c r="P39" s="7">
        <f t="shared" si="73"/>
        <v>0</v>
      </c>
      <c r="Q39" s="7">
        <f t="shared" si="74"/>
        <v>0</v>
      </c>
      <c r="R39" s="7">
        <f t="shared" si="75"/>
        <v>0</v>
      </c>
      <c r="S39" s="7">
        <f t="shared" si="76"/>
        <v>0</v>
      </c>
    </row>
    <row r="40" spans="1:19" ht="47.25" customHeight="1" x14ac:dyDescent="0.5">
      <c r="A40" s="15">
        <v>31</v>
      </c>
      <c r="B40" s="17" t="str">
        <f>[7]รายการสรุป!$E$6</f>
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</c>
      <c r="C40" s="24" t="str">
        <f>[7]รายการสรุป!$I$6</f>
        <v>0700338006410298</v>
      </c>
      <c r="D40" s="6" t="s">
        <v>55</v>
      </c>
      <c r="E40" s="7">
        <f t="shared" si="68"/>
        <v>16500</v>
      </c>
      <c r="F40" s="7">
        <v>0</v>
      </c>
      <c r="G40" s="8">
        <f>[7]รายการสรุป!$J$6</f>
        <v>16500</v>
      </c>
      <c r="H40" s="7">
        <f t="shared" si="69"/>
        <v>16474</v>
      </c>
      <c r="I40" s="7">
        <f t="shared" si="70"/>
        <v>99.842424242424244</v>
      </c>
      <c r="J40" s="7">
        <v>0</v>
      </c>
      <c r="K40" s="7">
        <f>16474</f>
        <v>16474</v>
      </c>
      <c r="L40" s="7">
        <f t="shared" si="71"/>
        <v>0</v>
      </c>
      <c r="M40" s="7">
        <f t="shared" si="72"/>
        <v>0</v>
      </c>
      <c r="N40" s="7">
        <v>0</v>
      </c>
      <c r="O40" s="7">
        <v>0</v>
      </c>
      <c r="P40" s="7">
        <f t="shared" si="73"/>
        <v>26</v>
      </c>
      <c r="Q40" s="7">
        <f t="shared" si="74"/>
        <v>0.15757575757575756</v>
      </c>
      <c r="R40" s="7">
        <f t="shared" si="75"/>
        <v>0</v>
      </c>
      <c r="S40" s="7">
        <f t="shared" si="76"/>
        <v>26</v>
      </c>
    </row>
    <row r="41" spans="1:19" ht="46.5" customHeight="1" x14ac:dyDescent="0.5">
      <c r="A41" s="15">
        <v>32</v>
      </c>
      <c r="B41" s="17" t="str">
        <f>[7]รายการสรุป!$E$7</f>
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</c>
      <c r="C41" s="24" t="str">
        <f>[7]รายการสรุป!$I$7</f>
        <v>0700338006410299</v>
      </c>
      <c r="D41" s="6" t="s">
        <v>55</v>
      </c>
      <c r="E41" s="7">
        <f t="shared" si="68"/>
        <v>29900</v>
      </c>
      <c r="F41" s="7">
        <v>0</v>
      </c>
      <c r="G41" s="8">
        <f>[7]รายการสรุป!$J$7</f>
        <v>29900</v>
      </c>
      <c r="H41" s="7">
        <f t="shared" si="69"/>
        <v>29875.9</v>
      </c>
      <c r="I41" s="7">
        <f t="shared" si="70"/>
        <v>99.919397993311037</v>
      </c>
      <c r="J41" s="7">
        <v>0</v>
      </c>
      <c r="K41" s="7">
        <f>12926+6940.9+10009</f>
        <v>29875.9</v>
      </c>
      <c r="L41" s="7">
        <f t="shared" si="71"/>
        <v>0</v>
      </c>
      <c r="M41" s="7">
        <f t="shared" si="72"/>
        <v>0</v>
      </c>
      <c r="N41" s="7">
        <v>0</v>
      </c>
      <c r="O41" s="7">
        <v>0</v>
      </c>
      <c r="P41" s="7">
        <f t="shared" si="73"/>
        <v>24.099999999998545</v>
      </c>
      <c r="Q41" s="7">
        <f t="shared" si="74"/>
        <v>8.0602006688958339E-2</v>
      </c>
      <c r="R41" s="7">
        <f t="shared" si="75"/>
        <v>0</v>
      </c>
      <c r="S41" s="7">
        <f t="shared" si="76"/>
        <v>24.099999999998545</v>
      </c>
    </row>
    <row r="42" spans="1:19" ht="45" customHeight="1" x14ac:dyDescent="0.5">
      <c r="A42" s="15">
        <v>33</v>
      </c>
      <c r="B42" s="17" t="str">
        <f>[7]รายการสรุป!$E$8</f>
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</c>
      <c r="C42" s="24" t="str">
        <f>[7]รายการสรุป!$I$8</f>
        <v>0700338006410619</v>
      </c>
      <c r="D42" s="6" t="s">
        <v>55</v>
      </c>
      <c r="E42" s="7">
        <f t="shared" si="68"/>
        <v>83400</v>
      </c>
      <c r="F42" s="7">
        <v>0</v>
      </c>
      <c r="G42" s="8">
        <f>[7]รายการสรุป!$J$8</f>
        <v>83400</v>
      </c>
      <c r="H42" s="7">
        <f t="shared" si="69"/>
        <v>83363</v>
      </c>
      <c r="I42" s="7">
        <f t="shared" si="70"/>
        <v>99.955635491606714</v>
      </c>
      <c r="J42" s="7">
        <v>0</v>
      </c>
      <c r="K42" s="7">
        <f>83363</f>
        <v>83363</v>
      </c>
      <c r="L42" s="7">
        <f t="shared" si="71"/>
        <v>0</v>
      </c>
      <c r="M42" s="7">
        <f t="shared" si="72"/>
        <v>0</v>
      </c>
      <c r="N42" s="7">
        <v>0</v>
      </c>
      <c r="O42" s="7">
        <v>0</v>
      </c>
      <c r="P42" s="7">
        <f t="shared" si="73"/>
        <v>37</v>
      </c>
      <c r="Q42" s="7">
        <f t="shared" si="74"/>
        <v>4.4364508393285373E-2</v>
      </c>
      <c r="R42" s="7">
        <f t="shared" si="75"/>
        <v>0</v>
      </c>
      <c r="S42" s="7">
        <f t="shared" si="76"/>
        <v>37</v>
      </c>
    </row>
    <row r="43" spans="1:19" ht="49.5" customHeight="1" x14ac:dyDescent="0.5">
      <c r="A43" s="15">
        <v>34</v>
      </c>
      <c r="B43" s="17" t="str">
        <f>[7]รายการสรุป!$E$9</f>
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</c>
      <c r="C43" s="24" t="str">
        <f>[7]รายการสรุป!$I$9</f>
        <v>0700338006410300</v>
      </c>
      <c r="D43" s="6" t="s">
        <v>55</v>
      </c>
      <c r="E43" s="7">
        <f t="shared" si="68"/>
        <v>31100</v>
      </c>
      <c r="F43" s="7">
        <v>0</v>
      </c>
      <c r="G43" s="8">
        <f>[7]รายการสรุป!$J$9</f>
        <v>31100</v>
      </c>
      <c r="H43" s="7">
        <f t="shared" si="69"/>
        <v>31067.9</v>
      </c>
      <c r="I43" s="7">
        <f t="shared" si="70"/>
        <v>99.896784565916406</v>
      </c>
      <c r="J43" s="7">
        <v>0</v>
      </c>
      <c r="K43" s="7">
        <f>6940.9+10009+5638+6480+1280+480+240</f>
        <v>31067.9</v>
      </c>
      <c r="L43" s="7">
        <f t="shared" si="71"/>
        <v>0</v>
      </c>
      <c r="M43" s="7">
        <f t="shared" si="72"/>
        <v>0</v>
      </c>
      <c r="N43" s="7">
        <v>0</v>
      </c>
      <c r="O43" s="7">
        <v>0</v>
      </c>
      <c r="P43" s="7">
        <f t="shared" si="73"/>
        <v>32.099999999998545</v>
      </c>
      <c r="Q43" s="7">
        <f t="shared" si="74"/>
        <v>0.10321543408359661</v>
      </c>
      <c r="R43" s="7">
        <f t="shared" si="75"/>
        <v>0</v>
      </c>
      <c r="S43" s="7">
        <f t="shared" si="76"/>
        <v>32.099999999998545</v>
      </c>
    </row>
    <row r="44" spans="1:19" ht="31.5" customHeight="1" x14ac:dyDescent="0.5">
      <c r="A44" s="15">
        <v>35</v>
      </c>
      <c r="B44" s="17" t="str">
        <f>[7]รายการสรุป!$E$10</f>
        <v>ซ่อมแซมห้องน้ำคนงานโครงการส่งน้ำและบำรุงรักษาแม่วัง ต.บ้านแลง อ.เมืองลำปาง จ.ลำปาง</v>
      </c>
      <c r="C44" s="24" t="str">
        <f>[7]รายการสรุป!$I$10</f>
        <v>0700338006410620</v>
      </c>
      <c r="D44" s="6" t="s">
        <v>55</v>
      </c>
      <c r="E44" s="7">
        <f t="shared" si="68"/>
        <v>16600</v>
      </c>
      <c r="F44" s="7">
        <v>0</v>
      </c>
      <c r="G44" s="8">
        <f>[7]รายการสรุป!$J$10</f>
        <v>16600</v>
      </c>
      <c r="H44" s="7">
        <f t="shared" si="69"/>
        <v>16560</v>
      </c>
      <c r="I44" s="7">
        <f t="shared" si="70"/>
        <v>99.759036144578317</v>
      </c>
      <c r="J44" s="7">
        <v>0</v>
      </c>
      <c r="K44" s="7">
        <v>16560</v>
      </c>
      <c r="L44" s="7">
        <f t="shared" si="71"/>
        <v>0</v>
      </c>
      <c r="M44" s="7">
        <f t="shared" si="72"/>
        <v>0</v>
      </c>
      <c r="N44" s="7">
        <v>0</v>
      </c>
      <c r="O44" s="7">
        <v>0</v>
      </c>
      <c r="P44" s="7">
        <f t="shared" si="73"/>
        <v>40</v>
      </c>
      <c r="Q44" s="7">
        <f t="shared" si="74"/>
        <v>0.24096385542168675</v>
      </c>
      <c r="R44" s="7">
        <f t="shared" si="75"/>
        <v>0</v>
      </c>
      <c r="S44" s="7">
        <f t="shared" si="76"/>
        <v>40</v>
      </c>
    </row>
    <row r="45" spans="1:19" ht="49.5" customHeight="1" x14ac:dyDescent="0.5">
      <c r="A45" s="15">
        <v>36</v>
      </c>
      <c r="B45" s="17" t="str">
        <f>[7]รายการสรุป!$E$11</f>
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</c>
      <c r="C45" s="24" t="str">
        <f>[7]รายการสรุป!$I$11</f>
        <v>0700338006410302</v>
      </c>
      <c r="D45" s="6" t="s">
        <v>55</v>
      </c>
      <c r="E45" s="7">
        <f t="shared" si="68"/>
        <v>39000</v>
      </c>
      <c r="F45" s="7">
        <v>0</v>
      </c>
      <c r="G45" s="8">
        <f>[7]รายการสรุป!$J$11</f>
        <v>39000</v>
      </c>
      <c r="H45" s="7">
        <f t="shared" si="69"/>
        <v>38873.5</v>
      </c>
      <c r="I45" s="7">
        <f t="shared" si="70"/>
        <v>99.675641025641028</v>
      </c>
      <c r="J45" s="7">
        <v>0</v>
      </c>
      <c r="K45" s="7">
        <f>11680+6940.9+5105.4+6940.9+8206.3</f>
        <v>38873.5</v>
      </c>
      <c r="L45" s="7">
        <f t="shared" si="71"/>
        <v>0</v>
      </c>
      <c r="M45" s="7">
        <f t="shared" si="72"/>
        <v>0</v>
      </c>
      <c r="N45" s="7">
        <v>0</v>
      </c>
      <c r="O45" s="7">
        <v>0</v>
      </c>
      <c r="P45" s="7">
        <f t="shared" si="73"/>
        <v>126.5</v>
      </c>
      <c r="Q45" s="7">
        <f t="shared" si="74"/>
        <v>0.32435897435897437</v>
      </c>
      <c r="R45" s="7">
        <f t="shared" si="75"/>
        <v>0</v>
      </c>
      <c r="S45" s="7">
        <f t="shared" si="76"/>
        <v>126.5</v>
      </c>
    </row>
    <row r="46" spans="1:19" ht="44.25" customHeight="1" x14ac:dyDescent="0.5">
      <c r="A46" s="15">
        <v>37</v>
      </c>
      <c r="B46" s="17" t="str">
        <f>[7]รายการสรุป!$E$12</f>
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</c>
      <c r="C46" s="24" t="str">
        <f>[7]รายการสรุป!$I$12</f>
        <v>0700338006410303</v>
      </c>
      <c r="D46" s="6" t="s">
        <v>55</v>
      </c>
      <c r="E46" s="7">
        <f t="shared" si="68"/>
        <v>34100</v>
      </c>
      <c r="F46" s="7">
        <v>0</v>
      </c>
      <c r="G46" s="8">
        <f>[7]รายการสรุป!$J$12</f>
        <v>34100</v>
      </c>
      <c r="H46" s="7">
        <f t="shared" si="69"/>
        <v>34064.700000000004</v>
      </c>
      <c r="I46" s="7">
        <f t="shared" si="70"/>
        <v>99.896480938416431</v>
      </c>
      <c r="J46" s="7">
        <v>0</v>
      </c>
      <c r="K46" s="7">
        <f>4738+6940.9+5535+5105.4+6940.9+4804.5</f>
        <v>34064.700000000004</v>
      </c>
      <c r="L46" s="7">
        <f t="shared" si="71"/>
        <v>0</v>
      </c>
      <c r="M46" s="7">
        <f t="shared" si="72"/>
        <v>0</v>
      </c>
      <c r="N46" s="7">
        <v>0</v>
      </c>
      <c r="O46" s="7">
        <v>0</v>
      </c>
      <c r="P46" s="7">
        <f t="shared" si="73"/>
        <v>35.299999999995634</v>
      </c>
      <c r="Q46" s="7">
        <f t="shared" si="74"/>
        <v>0.10351906158356491</v>
      </c>
      <c r="R46" s="7">
        <f t="shared" si="75"/>
        <v>0</v>
      </c>
      <c r="S46" s="7">
        <f t="shared" si="76"/>
        <v>35.299999999995634</v>
      </c>
    </row>
    <row r="47" spans="1:19" ht="45" customHeight="1" x14ac:dyDescent="0.5">
      <c r="A47" s="15">
        <v>38</v>
      </c>
      <c r="B47" s="17" t="str">
        <f>[7]รายการสรุป!$E$13</f>
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</c>
      <c r="C47" s="24" t="str">
        <f>[7]รายการสรุป!$I$13</f>
        <v>0700338006410304</v>
      </c>
      <c r="D47" s="6" t="s">
        <v>55</v>
      </c>
      <c r="E47" s="7">
        <f t="shared" si="68"/>
        <v>20800</v>
      </c>
      <c r="F47" s="7">
        <v>0</v>
      </c>
      <c r="G47" s="8">
        <f>[7]รายการสรุป!$J$13</f>
        <v>20800</v>
      </c>
      <c r="H47" s="7">
        <f t="shared" si="69"/>
        <v>20601.8</v>
      </c>
      <c r="I47" s="7">
        <f t="shared" si="70"/>
        <v>99.047115384615381</v>
      </c>
      <c r="J47" s="7">
        <v>0</v>
      </c>
      <c r="K47" s="7">
        <f>2320+6940.9+4400+6940.9</f>
        <v>20601.8</v>
      </c>
      <c r="L47" s="7">
        <f t="shared" si="71"/>
        <v>0</v>
      </c>
      <c r="M47" s="7">
        <f t="shared" si="72"/>
        <v>0</v>
      </c>
      <c r="N47" s="7">
        <v>0</v>
      </c>
      <c r="O47" s="7">
        <v>0</v>
      </c>
      <c r="P47" s="7">
        <f t="shared" si="73"/>
        <v>198.20000000000073</v>
      </c>
      <c r="Q47" s="7">
        <f t="shared" si="74"/>
        <v>0.95288461538461888</v>
      </c>
      <c r="R47" s="7">
        <f t="shared" si="75"/>
        <v>0</v>
      </c>
      <c r="S47" s="7">
        <f t="shared" si="76"/>
        <v>198.20000000000073</v>
      </c>
    </row>
    <row r="48" spans="1:19" ht="47.25" customHeight="1" x14ac:dyDescent="0.5">
      <c r="A48" s="15">
        <v>39</v>
      </c>
      <c r="B48" s="17" t="str">
        <f>[7]รายการสรุป!$E$14</f>
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</c>
      <c r="C48" s="24" t="str">
        <f>[7]รายการสรุป!$I$14</f>
        <v>0700338006410622</v>
      </c>
      <c r="D48" s="6" t="s">
        <v>55</v>
      </c>
      <c r="E48" s="7">
        <f t="shared" si="68"/>
        <v>27500</v>
      </c>
      <c r="F48" s="7">
        <v>0</v>
      </c>
      <c r="G48" s="8">
        <f>[7]รายการสรุป!$J$14</f>
        <v>27500</v>
      </c>
      <c r="H48" s="7">
        <f t="shared" si="69"/>
        <v>27500</v>
      </c>
      <c r="I48" s="7">
        <f t="shared" si="70"/>
        <v>100</v>
      </c>
      <c r="J48" s="7">
        <v>0</v>
      </c>
      <c r="K48" s="7">
        <f>4640+4640+9280+8940</f>
        <v>27500</v>
      </c>
      <c r="L48" s="7">
        <f t="shared" si="71"/>
        <v>0</v>
      </c>
      <c r="M48" s="7">
        <f t="shared" si="72"/>
        <v>0</v>
      </c>
      <c r="N48" s="7">
        <v>0</v>
      </c>
      <c r="O48" s="7">
        <v>0</v>
      </c>
      <c r="P48" s="7">
        <f t="shared" si="73"/>
        <v>0</v>
      </c>
      <c r="Q48" s="7">
        <f t="shared" si="74"/>
        <v>0</v>
      </c>
      <c r="R48" s="7">
        <f t="shared" si="75"/>
        <v>0</v>
      </c>
      <c r="S48" s="7">
        <f t="shared" si="76"/>
        <v>0</v>
      </c>
    </row>
    <row r="49" spans="1:19" ht="45" customHeight="1" x14ac:dyDescent="0.5">
      <c r="A49" s="15">
        <v>40</v>
      </c>
      <c r="B49" s="17" t="str">
        <f>[7]รายการสรุป!$E$15</f>
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</c>
      <c r="C49" s="24" t="str">
        <f>[7]รายการสรุป!$I$15</f>
        <v>0700338006410305</v>
      </c>
      <c r="D49" s="6" t="s">
        <v>55</v>
      </c>
      <c r="E49" s="7">
        <f t="shared" si="68"/>
        <v>38500</v>
      </c>
      <c r="F49" s="7">
        <v>0</v>
      </c>
      <c r="G49" s="8">
        <f>[7]รายการสรุป!$J$15</f>
        <v>38500</v>
      </c>
      <c r="H49" s="7">
        <f t="shared" si="69"/>
        <v>38500</v>
      </c>
      <c r="I49" s="7">
        <f t="shared" si="70"/>
        <v>100</v>
      </c>
      <c r="J49" s="7">
        <v>0</v>
      </c>
      <c r="K49" s="7">
        <f>28980+4764+2560+2196</f>
        <v>38500</v>
      </c>
      <c r="L49" s="7">
        <f t="shared" si="71"/>
        <v>0</v>
      </c>
      <c r="M49" s="7">
        <f t="shared" si="72"/>
        <v>0</v>
      </c>
      <c r="N49" s="7">
        <v>0</v>
      </c>
      <c r="O49" s="7">
        <v>0</v>
      </c>
      <c r="P49" s="7">
        <f t="shared" si="73"/>
        <v>0</v>
      </c>
      <c r="Q49" s="7">
        <f t="shared" si="74"/>
        <v>0</v>
      </c>
      <c r="R49" s="7">
        <f t="shared" si="75"/>
        <v>0</v>
      </c>
      <c r="S49" s="7">
        <f t="shared" si="76"/>
        <v>0</v>
      </c>
    </row>
    <row r="50" spans="1:19" ht="47.25" customHeight="1" x14ac:dyDescent="0.5">
      <c r="A50" s="15">
        <v>41</v>
      </c>
      <c r="B50" s="17" t="str">
        <f>[7]รายการสรุป!$E$16</f>
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</c>
      <c r="C50" s="24" t="str">
        <f>[7]รายการสรุป!$I$16</f>
        <v>0700338006410306</v>
      </c>
      <c r="D50" s="6" t="s">
        <v>55</v>
      </c>
      <c r="E50" s="7">
        <f t="shared" ref="E50:E61" si="77">F50+G50</f>
        <v>41200</v>
      </c>
      <c r="F50" s="7">
        <v>0</v>
      </c>
      <c r="G50" s="8">
        <f>[7]รายการสรุป!$J$16</f>
        <v>41200</v>
      </c>
      <c r="H50" s="7">
        <f t="shared" ref="H50:H61" si="78">J50+K50</f>
        <v>38414.800000000003</v>
      </c>
      <c r="I50" s="7">
        <f t="shared" ref="I50:I61" si="79">H50*100/E50</f>
        <v>93.239805825242726</v>
      </c>
      <c r="J50" s="7">
        <v>0</v>
      </c>
      <c r="K50" s="7">
        <f>5195+4400+21534.4+6005.4+1280</f>
        <v>38414.800000000003</v>
      </c>
      <c r="L50" s="7">
        <f t="shared" ref="L50:L61" si="80">N50+O50</f>
        <v>0</v>
      </c>
      <c r="M50" s="7">
        <f t="shared" ref="M50:M61" si="81">L50*100/E50</f>
        <v>0</v>
      </c>
      <c r="N50" s="7">
        <v>0</v>
      </c>
      <c r="O50" s="7">
        <v>0</v>
      </c>
      <c r="P50" s="7">
        <f t="shared" ref="P50:P61" si="82">R50+S50</f>
        <v>2785.1999999999971</v>
      </c>
      <c r="Q50" s="7">
        <f t="shared" ref="Q50:Q61" si="83">P50*100/E50</f>
        <v>6.7601941747572747</v>
      </c>
      <c r="R50" s="7">
        <f t="shared" ref="R50:R61" si="84">F50-J50-N50</f>
        <v>0</v>
      </c>
      <c r="S50" s="7">
        <f t="shared" ref="S50:S61" si="85">G50-K50-O50</f>
        <v>2785.1999999999971</v>
      </c>
    </row>
    <row r="51" spans="1:19" ht="46.5" customHeight="1" x14ac:dyDescent="0.5">
      <c r="A51" s="15">
        <v>42</v>
      </c>
      <c r="B51" s="17" t="str">
        <f>[7]รายการสรุป!$E$17</f>
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</c>
      <c r="C51" s="24" t="str">
        <f>[7]รายการสรุป!$I$17</f>
        <v>0700338006410623</v>
      </c>
      <c r="D51" s="6" t="s">
        <v>55</v>
      </c>
      <c r="E51" s="7">
        <f t="shared" si="77"/>
        <v>27500</v>
      </c>
      <c r="F51" s="7">
        <v>0</v>
      </c>
      <c r="G51" s="8">
        <f>[7]รายการสรุป!$J$17</f>
        <v>27500</v>
      </c>
      <c r="H51" s="7">
        <f t="shared" si="78"/>
        <v>27500</v>
      </c>
      <c r="I51" s="7">
        <f t="shared" si="79"/>
        <v>100</v>
      </c>
      <c r="J51" s="7">
        <v>0</v>
      </c>
      <c r="K51" s="7">
        <f>27500</f>
        <v>27500</v>
      </c>
      <c r="L51" s="7">
        <f t="shared" si="80"/>
        <v>0</v>
      </c>
      <c r="M51" s="7">
        <f t="shared" si="81"/>
        <v>0</v>
      </c>
      <c r="N51" s="7">
        <v>0</v>
      </c>
      <c r="O51" s="7">
        <v>0</v>
      </c>
      <c r="P51" s="7">
        <f t="shared" si="82"/>
        <v>0</v>
      </c>
      <c r="Q51" s="7">
        <f t="shared" si="83"/>
        <v>0</v>
      </c>
      <c r="R51" s="7">
        <f t="shared" si="84"/>
        <v>0</v>
      </c>
      <c r="S51" s="7">
        <f t="shared" si="85"/>
        <v>0</v>
      </c>
    </row>
    <row r="52" spans="1:19" ht="46.5" customHeight="1" x14ac:dyDescent="0.5">
      <c r="A52" s="15">
        <v>43</v>
      </c>
      <c r="B52" s="17" t="str">
        <f>[7]รายการสรุป!$E$18</f>
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</c>
      <c r="C52" s="24" t="str">
        <f>[7]รายการสรุป!$I$18</f>
        <v>0700338006410307</v>
      </c>
      <c r="D52" s="6" t="s">
        <v>55</v>
      </c>
      <c r="E52" s="7">
        <f t="shared" si="77"/>
        <v>62100</v>
      </c>
      <c r="F52" s="7">
        <v>0</v>
      </c>
      <c r="G52" s="8">
        <f>[7]รายการสรุป!$J$18</f>
        <v>62100</v>
      </c>
      <c r="H52" s="7">
        <f t="shared" si="78"/>
        <v>61679</v>
      </c>
      <c r="I52" s="7">
        <f t="shared" si="79"/>
        <v>99.322061191626403</v>
      </c>
      <c r="J52" s="7">
        <v>0</v>
      </c>
      <c r="K52" s="7">
        <f>4640+6720+8000+2320+39999</f>
        <v>61679</v>
      </c>
      <c r="L52" s="7">
        <f t="shared" si="80"/>
        <v>0</v>
      </c>
      <c r="M52" s="7">
        <f t="shared" si="81"/>
        <v>0</v>
      </c>
      <c r="N52" s="7">
        <v>0</v>
      </c>
      <c r="O52" s="7">
        <v>0</v>
      </c>
      <c r="P52" s="7">
        <f t="shared" si="82"/>
        <v>421</v>
      </c>
      <c r="Q52" s="7">
        <f t="shared" si="83"/>
        <v>0.677938808373591</v>
      </c>
      <c r="R52" s="7">
        <f t="shared" si="84"/>
        <v>0</v>
      </c>
      <c r="S52" s="7">
        <f t="shared" si="85"/>
        <v>421</v>
      </c>
    </row>
    <row r="53" spans="1:19" ht="46.5" customHeight="1" x14ac:dyDescent="0.5">
      <c r="A53" s="15">
        <v>44</v>
      </c>
      <c r="B53" s="17" t="str">
        <f>[7]รายการสรุป!$E$19</f>
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</c>
      <c r="C53" s="24" t="str">
        <f>[7]รายการสรุป!$I$19</f>
        <v>0700338006410624</v>
      </c>
      <c r="D53" s="6" t="s">
        <v>55</v>
      </c>
      <c r="E53" s="7">
        <f t="shared" si="77"/>
        <v>33200</v>
      </c>
      <c r="F53" s="7">
        <v>0</v>
      </c>
      <c r="G53" s="8">
        <f>[7]รายการสรุป!$J$19</f>
        <v>33200</v>
      </c>
      <c r="H53" s="7">
        <f t="shared" si="78"/>
        <v>33106.199999999997</v>
      </c>
      <c r="I53" s="7">
        <f t="shared" si="79"/>
        <v>99.717469879518063</v>
      </c>
      <c r="J53" s="7">
        <v>0</v>
      </c>
      <c r="K53" s="7">
        <f>8771+13881.8+6005.4+4448</f>
        <v>33106.199999999997</v>
      </c>
      <c r="L53" s="7">
        <f t="shared" si="80"/>
        <v>0</v>
      </c>
      <c r="M53" s="7">
        <f t="shared" si="81"/>
        <v>0</v>
      </c>
      <c r="N53" s="7">
        <v>0</v>
      </c>
      <c r="O53" s="7">
        <v>0</v>
      </c>
      <c r="P53" s="7">
        <f t="shared" si="82"/>
        <v>93.80000000000291</v>
      </c>
      <c r="Q53" s="7">
        <f t="shared" si="83"/>
        <v>0.28253012048193649</v>
      </c>
      <c r="R53" s="7">
        <f t="shared" si="84"/>
        <v>0</v>
      </c>
      <c r="S53" s="7">
        <f t="shared" si="85"/>
        <v>93.80000000000291</v>
      </c>
    </row>
    <row r="54" spans="1:19" ht="45" customHeight="1" x14ac:dyDescent="0.5">
      <c r="A54" s="15">
        <v>45</v>
      </c>
      <c r="B54" s="17" t="str">
        <f>[7]รายการสรุป!$E$20</f>
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</c>
      <c r="C54" s="24" t="str">
        <f>[7]รายการสรุป!$I$20</f>
        <v>0700338006410308</v>
      </c>
      <c r="D54" s="6" t="s">
        <v>55</v>
      </c>
      <c r="E54" s="7">
        <f t="shared" si="77"/>
        <v>31100</v>
      </c>
      <c r="F54" s="7">
        <v>0</v>
      </c>
      <c r="G54" s="8">
        <f>[7]รายการสรุป!$J$20</f>
        <v>31100</v>
      </c>
      <c r="H54" s="7">
        <f t="shared" si="78"/>
        <v>31040</v>
      </c>
      <c r="I54" s="7">
        <f t="shared" si="79"/>
        <v>99.80707395498392</v>
      </c>
      <c r="J54" s="7">
        <v>0</v>
      </c>
      <c r="K54" s="7">
        <f>31040</f>
        <v>31040</v>
      </c>
      <c r="L54" s="7">
        <f t="shared" si="80"/>
        <v>0</v>
      </c>
      <c r="M54" s="7">
        <f t="shared" si="81"/>
        <v>0</v>
      </c>
      <c r="N54" s="7">
        <v>0</v>
      </c>
      <c r="O54" s="7">
        <v>0</v>
      </c>
      <c r="P54" s="7">
        <f t="shared" si="82"/>
        <v>60</v>
      </c>
      <c r="Q54" s="7">
        <f t="shared" si="83"/>
        <v>0.19292604501607716</v>
      </c>
      <c r="R54" s="7">
        <f t="shared" si="84"/>
        <v>0</v>
      </c>
      <c r="S54" s="7">
        <f t="shared" si="85"/>
        <v>60</v>
      </c>
    </row>
    <row r="55" spans="1:19" ht="45" customHeight="1" x14ac:dyDescent="0.5">
      <c r="A55" s="15">
        <v>46</v>
      </c>
      <c r="B55" s="17" t="str">
        <f>[7]รายการสรุป!$E$21</f>
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</c>
      <c r="C55" s="24" t="str">
        <f>[7]รายการสรุป!$I$21</f>
        <v>0700338006410625</v>
      </c>
      <c r="D55" s="6" t="s">
        <v>55</v>
      </c>
      <c r="E55" s="7">
        <f t="shared" si="77"/>
        <v>33400</v>
      </c>
      <c r="F55" s="7">
        <v>0</v>
      </c>
      <c r="G55" s="8">
        <f>[7]รายการสรุป!$J$21</f>
        <v>33400</v>
      </c>
      <c r="H55" s="7">
        <f t="shared" si="78"/>
        <v>33200</v>
      </c>
      <c r="I55" s="7">
        <f t="shared" si="79"/>
        <v>99.401197604790426</v>
      </c>
      <c r="J55" s="7">
        <v>0</v>
      </c>
      <c r="K55" s="7">
        <f>33200</f>
        <v>33200</v>
      </c>
      <c r="L55" s="7">
        <f t="shared" si="80"/>
        <v>0</v>
      </c>
      <c r="M55" s="7">
        <f t="shared" si="81"/>
        <v>0</v>
      </c>
      <c r="N55" s="7">
        <v>0</v>
      </c>
      <c r="O55" s="7">
        <v>0</v>
      </c>
      <c r="P55" s="7">
        <f t="shared" si="82"/>
        <v>200</v>
      </c>
      <c r="Q55" s="7">
        <f t="shared" si="83"/>
        <v>0.59880239520958078</v>
      </c>
      <c r="R55" s="7">
        <f t="shared" si="84"/>
        <v>0</v>
      </c>
      <c r="S55" s="7">
        <f t="shared" si="85"/>
        <v>200</v>
      </c>
    </row>
    <row r="56" spans="1:19" ht="45.75" customHeight="1" x14ac:dyDescent="0.5">
      <c r="A56" s="15">
        <v>47</v>
      </c>
      <c r="B56" s="17" t="str">
        <f>[7]รายการสรุป!$E$22</f>
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</c>
      <c r="C56" s="24" t="str">
        <f>[7]รายการสรุป!$I$22</f>
        <v>0700338006410309</v>
      </c>
      <c r="D56" s="6" t="s">
        <v>55</v>
      </c>
      <c r="E56" s="7">
        <f t="shared" si="77"/>
        <v>37800</v>
      </c>
      <c r="F56" s="7">
        <v>0</v>
      </c>
      <c r="G56" s="8">
        <f>[7]รายการสรุป!$J$22</f>
        <v>37800</v>
      </c>
      <c r="H56" s="7">
        <f t="shared" si="78"/>
        <v>37582</v>
      </c>
      <c r="I56" s="7">
        <f t="shared" si="79"/>
        <v>99.423280423280417</v>
      </c>
      <c r="J56" s="7">
        <v>0</v>
      </c>
      <c r="K56" s="7">
        <f>30100+240+7242</f>
        <v>37582</v>
      </c>
      <c r="L56" s="7">
        <f t="shared" si="80"/>
        <v>0</v>
      </c>
      <c r="M56" s="7">
        <f t="shared" si="81"/>
        <v>0</v>
      </c>
      <c r="N56" s="7">
        <v>0</v>
      </c>
      <c r="O56" s="7">
        <v>0</v>
      </c>
      <c r="P56" s="7">
        <f t="shared" si="82"/>
        <v>218</v>
      </c>
      <c r="Q56" s="7">
        <f t="shared" si="83"/>
        <v>0.57671957671957674</v>
      </c>
      <c r="R56" s="7">
        <f t="shared" si="84"/>
        <v>0</v>
      </c>
      <c r="S56" s="7">
        <f t="shared" si="85"/>
        <v>218</v>
      </c>
    </row>
    <row r="57" spans="1:19" ht="44.25" customHeight="1" x14ac:dyDescent="0.5">
      <c r="A57" s="15">
        <v>48</v>
      </c>
      <c r="B57" s="17" t="str">
        <f>[7]รายการสรุป!$E$23</f>
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</c>
      <c r="C57" s="24" t="str">
        <f>[7]รายการสรุป!$I$23</f>
        <v>0700338006410626</v>
      </c>
      <c r="D57" s="6" t="s">
        <v>55</v>
      </c>
      <c r="E57" s="7">
        <f t="shared" si="77"/>
        <v>33300</v>
      </c>
      <c r="F57" s="7">
        <v>0</v>
      </c>
      <c r="G57" s="8">
        <f>[7]รายการสรุป!$J$23</f>
        <v>33300</v>
      </c>
      <c r="H57" s="7">
        <f t="shared" si="78"/>
        <v>33294</v>
      </c>
      <c r="I57" s="7">
        <f t="shared" si="79"/>
        <v>99.981981981981988</v>
      </c>
      <c r="J57" s="7">
        <v>0</v>
      </c>
      <c r="K57" s="7">
        <f>33294</f>
        <v>33294</v>
      </c>
      <c r="L57" s="7">
        <f t="shared" si="80"/>
        <v>0</v>
      </c>
      <c r="M57" s="7">
        <f t="shared" si="81"/>
        <v>0</v>
      </c>
      <c r="N57" s="7">
        <v>0</v>
      </c>
      <c r="O57" s="7">
        <v>0</v>
      </c>
      <c r="P57" s="7">
        <f t="shared" si="82"/>
        <v>6</v>
      </c>
      <c r="Q57" s="7">
        <f t="shared" si="83"/>
        <v>1.8018018018018018E-2</v>
      </c>
      <c r="R57" s="7">
        <f t="shared" si="84"/>
        <v>0</v>
      </c>
      <c r="S57" s="7">
        <f t="shared" si="85"/>
        <v>6</v>
      </c>
    </row>
    <row r="58" spans="1:19" ht="48" customHeight="1" x14ac:dyDescent="0.5">
      <c r="A58" s="15">
        <v>49</v>
      </c>
      <c r="B58" s="17" t="str">
        <f>[7]รายการสรุป!$E$24</f>
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</c>
      <c r="C58" s="24" t="str">
        <f>[7]รายการสรุป!$I$24</f>
        <v>0700338006410310</v>
      </c>
      <c r="D58" s="6" t="s">
        <v>55</v>
      </c>
      <c r="E58" s="7">
        <f t="shared" si="77"/>
        <v>26700</v>
      </c>
      <c r="F58" s="7">
        <v>0</v>
      </c>
      <c r="G58" s="8">
        <f>[7]รายการสรุป!$J$24</f>
        <v>26700</v>
      </c>
      <c r="H58" s="7">
        <f t="shared" si="78"/>
        <v>26697.300000000003</v>
      </c>
      <c r="I58" s="7">
        <f t="shared" si="79"/>
        <v>99.989887640449453</v>
      </c>
      <c r="J58" s="7">
        <v>0</v>
      </c>
      <c r="K58" s="7">
        <f>6940.9+4166+6038+6405.4+3147</f>
        <v>26697.300000000003</v>
      </c>
      <c r="L58" s="7">
        <f t="shared" si="80"/>
        <v>0</v>
      </c>
      <c r="M58" s="7">
        <f t="shared" si="81"/>
        <v>0</v>
      </c>
      <c r="N58" s="7">
        <v>0</v>
      </c>
      <c r="O58" s="7">
        <v>0</v>
      </c>
      <c r="P58" s="7">
        <f t="shared" si="82"/>
        <v>2.6999999999970896</v>
      </c>
      <c r="Q58" s="7">
        <f t="shared" si="83"/>
        <v>1.0112359550550898E-2</v>
      </c>
      <c r="R58" s="7">
        <f t="shared" si="84"/>
        <v>0</v>
      </c>
      <c r="S58" s="7">
        <f t="shared" si="85"/>
        <v>2.6999999999970896</v>
      </c>
    </row>
    <row r="59" spans="1:19" ht="47.25" customHeight="1" x14ac:dyDescent="0.5">
      <c r="A59" s="15">
        <v>50</v>
      </c>
      <c r="B59" s="17" t="str">
        <f>[8]รายการสรุป!$E$5</f>
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</c>
      <c r="C59" s="24" t="str">
        <f>[8]รายการสรุป!$I$5</f>
        <v>0700338006410311</v>
      </c>
      <c r="D59" s="6" t="s">
        <v>55</v>
      </c>
      <c r="E59" s="7">
        <f t="shared" si="77"/>
        <v>62200</v>
      </c>
      <c r="F59" s="7">
        <v>0</v>
      </c>
      <c r="G59" s="8">
        <f>[8]รายการสรุป!$J$5</f>
        <v>62200</v>
      </c>
      <c r="H59" s="7">
        <f t="shared" si="78"/>
        <v>61426</v>
      </c>
      <c r="I59" s="7">
        <f t="shared" si="79"/>
        <v>98.755627009646304</v>
      </c>
      <c r="J59" s="7">
        <v>0</v>
      </c>
      <c r="K59" s="7">
        <f>4226+57200</f>
        <v>61426</v>
      </c>
      <c r="L59" s="7">
        <f t="shared" si="80"/>
        <v>0</v>
      </c>
      <c r="M59" s="7">
        <f t="shared" si="81"/>
        <v>0</v>
      </c>
      <c r="N59" s="7">
        <v>0</v>
      </c>
      <c r="O59" s="7">
        <v>0</v>
      </c>
      <c r="P59" s="7">
        <f t="shared" si="82"/>
        <v>774</v>
      </c>
      <c r="Q59" s="7">
        <f t="shared" si="83"/>
        <v>1.2443729903536977</v>
      </c>
      <c r="R59" s="7">
        <f t="shared" si="84"/>
        <v>0</v>
      </c>
      <c r="S59" s="7">
        <f t="shared" si="85"/>
        <v>774</v>
      </c>
    </row>
    <row r="60" spans="1:19" ht="45.75" customHeight="1" x14ac:dyDescent="0.5">
      <c r="A60" s="15">
        <v>51</v>
      </c>
      <c r="B60" s="17" t="str">
        <f>[8]รายการสรุป!$E$6</f>
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</c>
      <c r="C60" s="24" t="str">
        <f>[8]รายการสรุป!$I$6</f>
        <v>0700338006410627</v>
      </c>
      <c r="D60" s="6" t="s">
        <v>55</v>
      </c>
      <c r="E60" s="7">
        <f t="shared" si="77"/>
        <v>57900</v>
      </c>
      <c r="F60" s="7">
        <v>0</v>
      </c>
      <c r="G60" s="8">
        <f>[8]รายการสรุป!$J$6</f>
        <v>57900</v>
      </c>
      <c r="H60" s="7">
        <f t="shared" si="78"/>
        <v>53163</v>
      </c>
      <c r="I60" s="7">
        <f t="shared" si="79"/>
        <v>91.818652849740928</v>
      </c>
      <c r="J60" s="7">
        <v>0</v>
      </c>
      <c r="K60" s="7">
        <f>38263+14900</f>
        <v>53163</v>
      </c>
      <c r="L60" s="7">
        <f t="shared" si="80"/>
        <v>0</v>
      </c>
      <c r="M60" s="7">
        <f t="shared" si="81"/>
        <v>0</v>
      </c>
      <c r="N60" s="7">
        <v>0</v>
      </c>
      <c r="O60" s="7">
        <v>0</v>
      </c>
      <c r="P60" s="7">
        <f t="shared" si="82"/>
        <v>4737</v>
      </c>
      <c r="Q60" s="7">
        <f t="shared" si="83"/>
        <v>8.181347150259068</v>
      </c>
      <c r="R60" s="7">
        <f t="shared" si="84"/>
        <v>0</v>
      </c>
      <c r="S60" s="7">
        <f t="shared" si="85"/>
        <v>4737</v>
      </c>
    </row>
    <row r="61" spans="1:19" ht="48.75" customHeight="1" x14ac:dyDescent="0.5">
      <c r="A61" s="15">
        <v>52</v>
      </c>
      <c r="B61" s="17" t="str">
        <f>[8]รายการสรุป!$E$7</f>
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</c>
      <c r="C61" s="24" t="str">
        <f>[8]รายการสรุป!$I$7</f>
        <v>0700338006410312</v>
      </c>
      <c r="D61" s="6" t="s">
        <v>55</v>
      </c>
      <c r="E61" s="7">
        <f t="shared" si="77"/>
        <v>66500</v>
      </c>
      <c r="F61" s="7">
        <v>0</v>
      </c>
      <c r="G61" s="8">
        <f>[8]รายการสรุป!$J$7</f>
        <v>66500</v>
      </c>
      <c r="H61" s="7">
        <f t="shared" si="78"/>
        <v>66389.099999999991</v>
      </c>
      <c r="I61" s="7">
        <f t="shared" si="79"/>
        <v>99.833233082706755</v>
      </c>
      <c r="J61" s="7">
        <v>0</v>
      </c>
      <c r="K61" s="7">
        <f>240+20822.7+19701+4802.7+20822.7</f>
        <v>66389.099999999991</v>
      </c>
      <c r="L61" s="7">
        <f t="shared" si="80"/>
        <v>0</v>
      </c>
      <c r="M61" s="7">
        <f t="shared" si="81"/>
        <v>0</v>
      </c>
      <c r="N61" s="7">
        <v>0</v>
      </c>
      <c r="O61" s="7">
        <v>0</v>
      </c>
      <c r="P61" s="7">
        <f t="shared" si="82"/>
        <v>110.90000000000873</v>
      </c>
      <c r="Q61" s="7">
        <f t="shared" si="83"/>
        <v>0.16676691729324622</v>
      </c>
      <c r="R61" s="7">
        <f t="shared" si="84"/>
        <v>0</v>
      </c>
      <c r="S61" s="7">
        <f t="shared" si="85"/>
        <v>110.90000000000873</v>
      </c>
    </row>
    <row r="62" spans="1:19" ht="45" customHeight="1" x14ac:dyDescent="0.5">
      <c r="A62" s="15">
        <v>53</v>
      </c>
      <c r="B62" s="17" t="str">
        <f>[8]รายการสรุป!$E$8</f>
        <v>ซ่อมแซมคลองแยกซอย16.6L-0.5Lและคลองซอย16.6Lโครงการส่งน้ำและบำรุงรักษากิ่วลม-กิ่วคอหมา จ.ลำปาง</v>
      </c>
      <c r="C62" s="24" t="str">
        <f>[8]รายการสรุป!$I$8</f>
        <v>0700338006410287</v>
      </c>
      <c r="D62" s="6" t="s">
        <v>71</v>
      </c>
      <c r="E62" s="7">
        <f t="shared" ref="E62" si="86">F62+G62</f>
        <v>156000</v>
      </c>
      <c r="F62" s="7">
        <v>0</v>
      </c>
      <c r="G62" s="8">
        <f>[8]รายการสรุป!$J$8</f>
        <v>156000</v>
      </c>
      <c r="H62" s="7">
        <f t="shared" ref="H62" si="87">J62+K62</f>
        <v>150431.20000000001</v>
      </c>
      <c r="I62" s="7">
        <f t="shared" ref="I62" si="88">H62*100/E62</f>
        <v>96.430256410256419</v>
      </c>
      <c r="J62" s="7">
        <v>0</v>
      </c>
      <c r="K62" s="7">
        <f>6200+21840+88326+20625.2+6480+4640+2320</f>
        <v>150431.20000000001</v>
      </c>
      <c r="L62" s="7">
        <f t="shared" ref="L62" si="89">N62+O62</f>
        <v>0</v>
      </c>
      <c r="M62" s="7">
        <f t="shared" ref="M62" si="90">L62*100/E62</f>
        <v>0</v>
      </c>
      <c r="N62" s="7">
        <v>0</v>
      </c>
      <c r="O62" s="7">
        <v>0</v>
      </c>
      <c r="P62" s="7">
        <f t="shared" ref="P62" si="91">R62+S62</f>
        <v>5568.7999999999884</v>
      </c>
      <c r="Q62" s="7">
        <f t="shared" ref="Q62" si="92">P62*100/E62</f>
        <v>3.5697435897435823</v>
      </c>
      <c r="R62" s="7">
        <f t="shared" ref="R62" si="93">F62-J62-N62</f>
        <v>0</v>
      </c>
      <c r="S62" s="7">
        <f t="shared" ref="S62" si="94">G62-K62-O62</f>
        <v>5568.7999999999884</v>
      </c>
    </row>
    <row r="63" spans="1:19" ht="48.75" customHeight="1" x14ac:dyDescent="0.5">
      <c r="A63" s="15">
        <v>54</v>
      </c>
      <c r="B63" s="17" t="str">
        <f>[8]รายการสรุป!$E$9</f>
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</c>
      <c r="C63" s="24" t="str">
        <f>[8]รายการสรุป!$I$9</f>
        <v>0700338006410608</v>
      </c>
      <c r="D63" s="6" t="s">
        <v>71</v>
      </c>
      <c r="E63" s="7">
        <f t="shared" ref="E63:E65" si="95">F63+G63</f>
        <v>121000</v>
      </c>
      <c r="F63" s="7">
        <v>0</v>
      </c>
      <c r="G63" s="8">
        <f>[8]รายการสรุป!$J$9</f>
        <v>121000</v>
      </c>
      <c r="H63" s="7">
        <f t="shared" ref="H63:H65" si="96">J63+K63</f>
        <v>117392.1</v>
      </c>
      <c r="I63" s="7">
        <f t="shared" ref="I63:I65" si="97">H63*100/E63</f>
        <v>97.018264462809924</v>
      </c>
      <c r="J63" s="7">
        <v>0</v>
      </c>
      <c r="K63" s="7">
        <f>1976+17600+63090+21526.1+13200</f>
        <v>117392.1</v>
      </c>
      <c r="L63" s="7">
        <f t="shared" ref="L63:L65" si="98">N63+O63</f>
        <v>0</v>
      </c>
      <c r="M63" s="7">
        <f t="shared" ref="M63:M65" si="99">L63*100/E63</f>
        <v>0</v>
      </c>
      <c r="N63" s="7">
        <v>0</v>
      </c>
      <c r="O63" s="7">
        <v>0</v>
      </c>
      <c r="P63" s="7">
        <f t="shared" ref="P63:P65" si="100">R63+S63</f>
        <v>3607.8999999999942</v>
      </c>
      <c r="Q63" s="7">
        <f t="shared" ref="Q63:Q65" si="101">P63*100/E63</f>
        <v>2.9817355371900778</v>
      </c>
      <c r="R63" s="7">
        <f t="shared" ref="R63:R65" si="102">F63-J63-N63</f>
        <v>0</v>
      </c>
      <c r="S63" s="7">
        <f t="shared" ref="S63:S65" si="103">G63-K63-O63</f>
        <v>3607.8999999999942</v>
      </c>
    </row>
    <row r="64" spans="1:19" ht="33.75" customHeight="1" x14ac:dyDescent="0.5">
      <c r="A64" s="15">
        <v>55</v>
      </c>
      <c r="B64" s="17" t="str">
        <f>[8]รายการสรุป!$E$10</f>
        <v>ซ่อมแซมคลองระบายน้ำด้วยขอนห่มโครงการส่งน้ำและบำรุงรักษากิ่วลม-กิ่วคอหมา จ.ลำปาง</v>
      </c>
      <c r="C64" s="24" t="str">
        <f>[8]รายการสรุป!$I$10</f>
        <v>0700338006410301</v>
      </c>
      <c r="D64" s="6" t="s">
        <v>71</v>
      </c>
      <c r="E64" s="7">
        <f t="shared" si="95"/>
        <v>110700</v>
      </c>
      <c r="F64" s="7">
        <v>0</v>
      </c>
      <c r="G64" s="8">
        <f>[8]รายการสรุป!$J$10</f>
        <v>110700</v>
      </c>
      <c r="H64" s="7">
        <f t="shared" si="96"/>
        <v>69054.179999999993</v>
      </c>
      <c r="I64" s="7">
        <f t="shared" si="97"/>
        <v>62.37956639566395</v>
      </c>
      <c r="J64" s="7">
        <v>0</v>
      </c>
      <c r="K64" s="7">
        <f>24435+5964.18+7375+18080+13200</f>
        <v>69054.179999999993</v>
      </c>
      <c r="L64" s="7">
        <f t="shared" si="98"/>
        <v>0</v>
      </c>
      <c r="M64" s="7">
        <f t="shared" si="99"/>
        <v>0</v>
      </c>
      <c r="N64" s="7">
        <v>0</v>
      </c>
      <c r="O64" s="7">
        <v>0</v>
      </c>
      <c r="P64" s="7">
        <f t="shared" si="100"/>
        <v>41645.820000000007</v>
      </c>
      <c r="Q64" s="7">
        <f t="shared" si="101"/>
        <v>37.62043360433605</v>
      </c>
      <c r="R64" s="7">
        <f t="shared" si="102"/>
        <v>0</v>
      </c>
      <c r="S64" s="7">
        <f t="shared" si="103"/>
        <v>41645.820000000007</v>
      </c>
    </row>
    <row r="65" spans="1:20" ht="31.5" customHeight="1" x14ac:dyDescent="0.5">
      <c r="A65" s="15">
        <v>56</v>
      </c>
      <c r="B65" s="17" t="str">
        <f>[8]รายการสรุป!$E$11</f>
        <v>ซ่อมแซมคลองส่งน้ำสายใหญ่แม่วังฝั่งซ้ายกม.0+250-กม1+000โครงการส่งน้ำและบำรุงรักษาแม่วัง จ.ลำปาง</v>
      </c>
      <c r="C65" s="24" t="str">
        <f>[8]รายการสรุป!$I$11</f>
        <v>0700338006410621</v>
      </c>
      <c r="D65" s="6" t="s">
        <v>71</v>
      </c>
      <c r="E65" s="7">
        <f t="shared" si="95"/>
        <v>132900</v>
      </c>
      <c r="F65" s="7">
        <v>0</v>
      </c>
      <c r="G65" s="8">
        <f>[8]รายการสรุป!$J$11</f>
        <v>132900</v>
      </c>
      <c r="H65" s="7">
        <f t="shared" si="96"/>
        <v>73172.62</v>
      </c>
      <c r="I65" s="7">
        <f t="shared" si="97"/>
        <v>55.058404815650867</v>
      </c>
      <c r="J65" s="7">
        <v>0</v>
      </c>
      <c r="K65" s="7">
        <f>10527.62+11360+35365+8240+7680</f>
        <v>73172.62</v>
      </c>
      <c r="L65" s="7">
        <f t="shared" si="98"/>
        <v>0</v>
      </c>
      <c r="M65" s="7">
        <f t="shared" si="99"/>
        <v>0</v>
      </c>
      <c r="N65" s="7">
        <v>0</v>
      </c>
      <c r="O65" s="7">
        <v>0</v>
      </c>
      <c r="P65" s="7">
        <f t="shared" si="100"/>
        <v>59727.380000000005</v>
      </c>
      <c r="Q65" s="7">
        <f t="shared" si="101"/>
        <v>44.941595184349133</v>
      </c>
      <c r="R65" s="7">
        <f t="shared" si="102"/>
        <v>0</v>
      </c>
      <c r="S65" s="7">
        <f t="shared" si="103"/>
        <v>59727.380000000005</v>
      </c>
    </row>
    <row r="66" spans="1:20" ht="31.5" customHeight="1" x14ac:dyDescent="0.5">
      <c r="A66" s="15">
        <v>57</v>
      </c>
      <c r="B66" s="17" t="str">
        <f>[8]รายการสรุป!$E$12</f>
        <v>ซ่อมแซมคลองส่งน้ำสายขวาบน(RMC)อ่างเก็บน้ำห้วยเกี๋ยงโครงการชลประทานลำปาง จ.ลำปาง</v>
      </c>
      <c r="C66" s="24" t="str">
        <f>[8]รายการสรุป!$I$12</f>
        <v>0700338006410505</v>
      </c>
      <c r="D66" s="6" t="s">
        <v>78</v>
      </c>
      <c r="E66" s="7">
        <f t="shared" ref="E66" si="104">F66+G66</f>
        <v>54000</v>
      </c>
      <c r="F66" s="7">
        <v>0</v>
      </c>
      <c r="G66" s="8">
        <f>[8]รายการสรุป!$J$12</f>
        <v>54000</v>
      </c>
      <c r="H66" s="7">
        <f t="shared" ref="H66" si="105">J66+K66</f>
        <v>53844.93</v>
      </c>
      <c r="I66" s="7">
        <f t="shared" ref="I66" si="106">H66*100/E66</f>
        <v>99.712833333333336</v>
      </c>
      <c r="J66" s="7">
        <v>0</v>
      </c>
      <c r="K66" s="7">
        <f>480+46090+7274.93</f>
        <v>53844.93</v>
      </c>
      <c r="L66" s="7">
        <f t="shared" ref="L66" si="107">N66+O66</f>
        <v>0</v>
      </c>
      <c r="M66" s="7">
        <f t="shared" ref="M66" si="108">L66*100/E66</f>
        <v>0</v>
      </c>
      <c r="N66" s="7">
        <v>0</v>
      </c>
      <c r="O66" s="7">
        <v>0</v>
      </c>
      <c r="P66" s="7">
        <f t="shared" ref="P66" si="109">R66+S66</f>
        <v>155.06999999999971</v>
      </c>
      <c r="Q66" s="7">
        <f t="shared" ref="Q66" si="110">P66*100/E66</f>
        <v>0.28716666666666613</v>
      </c>
      <c r="R66" s="7">
        <f t="shared" ref="R66" si="111">F66-J66-N66</f>
        <v>0</v>
      </c>
      <c r="S66" s="7">
        <f t="shared" ref="S66" si="112">G66-K66-O66</f>
        <v>155.06999999999971</v>
      </c>
    </row>
    <row r="67" spans="1:20" ht="46.5" customHeight="1" x14ac:dyDescent="0.5">
      <c r="A67" s="15">
        <v>58</v>
      </c>
      <c r="B67" s="17" t="str">
        <f>[8]รายการสรุป!$E$13</f>
        <v>ซ่อมแซมคอนกรีตดาดคลองRMCกิ่วลม กม42+300+กม52+000โครงการส่งน้ำและบำรุงรักษากิ่วลม-กิ่วคอหมา จ.ลำปาง</v>
      </c>
      <c r="C67" s="24" t="str">
        <f>[8]รายการสรุป!$I$13</f>
        <v>0700338006410605</v>
      </c>
      <c r="D67" s="6" t="s">
        <v>82</v>
      </c>
      <c r="E67" s="7">
        <f t="shared" ref="E67:E68" si="113">F67+G67</f>
        <v>39000</v>
      </c>
      <c r="F67" s="7">
        <v>0</v>
      </c>
      <c r="G67" s="8">
        <f>[8]รายการสรุป!$J$13</f>
        <v>39000</v>
      </c>
      <c r="H67" s="7">
        <f t="shared" ref="H67:H68" si="114">J67+K67</f>
        <v>38882</v>
      </c>
      <c r="I67" s="7">
        <f t="shared" ref="I67:I68" si="115">H67*100/E67</f>
        <v>99.697435897435895</v>
      </c>
      <c r="J67" s="7">
        <v>0</v>
      </c>
      <c r="K67" s="7">
        <f>3360+3600+15960+1922+14040</f>
        <v>38882</v>
      </c>
      <c r="L67" s="7">
        <f t="shared" ref="L67:L68" si="116">N67+O67</f>
        <v>0</v>
      </c>
      <c r="M67" s="7">
        <f t="shared" ref="M67:M68" si="117">L67*100/E67</f>
        <v>0</v>
      </c>
      <c r="N67" s="7">
        <v>0</v>
      </c>
      <c r="O67" s="7">
        <v>0</v>
      </c>
      <c r="P67" s="7">
        <f t="shared" ref="P67:P68" si="118">R67+S67</f>
        <v>118</v>
      </c>
      <c r="Q67" s="7">
        <f t="shared" ref="Q67:Q68" si="119">P67*100/E67</f>
        <v>0.30256410256410254</v>
      </c>
      <c r="R67" s="7">
        <f t="shared" ref="R67:R68" si="120">F67-J67-N67</f>
        <v>0</v>
      </c>
      <c r="S67" s="7">
        <f t="shared" ref="S67:S68" si="121">G67-K67-O67</f>
        <v>118</v>
      </c>
    </row>
    <row r="68" spans="1:20" ht="33" customHeight="1" x14ac:dyDescent="0.5">
      <c r="A68" s="15">
        <v>59</v>
      </c>
      <c r="B68" s="17" t="str">
        <f>[8]รายการสรุป!$E$14</f>
        <v>ซ่อมแซมอาคารระบายน้ำ กม.17+936 LMCแม่วังและลาดชันดินด้านข้าง อ.เมือง จ.ลำปาง</v>
      </c>
      <c r="C68" s="24" t="str">
        <f>[8]รายการสรุป!$I$14</f>
        <v>0700338006420035</v>
      </c>
      <c r="D68" s="6" t="s">
        <v>97</v>
      </c>
      <c r="E68" s="7">
        <f t="shared" si="113"/>
        <v>52500</v>
      </c>
      <c r="F68" s="7">
        <v>0</v>
      </c>
      <c r="G68" s="8">
        <f>[8]รายการสรุป!$J$14</f>
        <v>52500</v>
      </c>
      <c r="H68" s="7">
        <f t="shared" si="114"/>
        <v>1040</v>
      </c>
      <c r="I68" s="7">
        <f t="shared" si="115"/>
        <v>1.980952380952381</v>
      </c>
      <c r="J68" s="7">
        <v>0</v>
      </c>
      <c r="K68" s="7">
        <f>1040</f>
        <v>1040</v>
      </c>
      <c r="L68" s="7">
        <f t="shared" si="116"/>
        <v>0</v>
      </c>
      <c r="M68" s="7">
        <f t="shared" si="117"/>
        <v>0</v>
      </c>
      <c r="N68" s="7">
        <v>0</v>
      </c>
      <c r="O68" s="7">
        <v>0</v>
      </c>
      <c r="P68" s="7">
        <f t="shared" si="118"/>
        <v>51460</v>
      </c>
      <c r="Q68" s="7">
        <f t="shared" si="119"/>
        <v>98.019047619047626</v>
      </c>
      <c r="R68" s="7">
        <f t="shared" si="120"/>
        <v>0</v>
      </c>
      <c r="S68" s="7">
        <f t="shared" si="121"/>
        <v>51460</v>
      </c>
    </row>
    <row r="69" spans="1:20" ht="30" customHeight="1" x14ac:dyDescent="0.5">
      <c r="A69" s="15"/>
      <c r="B69" s="48" t="s">
        <v>34</v>
      </c>
      <c r="C69" s="63"/>
      <c r="D69" s="63"/>
      <c r="E69" s="49">
        <f t="shared" si="41"/>
        <v>10690000</v>
      </c>
      <c r="F69" s="49">
        <f>SUM(F70:F75)</f>
        <v>0</v>
      </c>
      <c r="G69" s="49">
        <f>SUM(G70:G82)</f>
        <v>10690000</v>
      </c>
      <c r="H69" s="49">
        <f>J69+K69</f>
        <v>10033310.000000002</v>
      </c>
      <c r="I69" s="49">
        <f>H69*100/E69</f>
        <v>93.856969130028091</v>
      </c>
      <c r="J69" s="49">
        <f>SUM(J70:J75)</f>
        <v>0</v>
      </c>
      <c r="K69" s="49">
        <f>SUM(K70:K82)</f>
        <v>10033310.000000002</v>
      </c>
      <c r="L69" s="49">
        <f>N69+O69</f>
        <v>0</v>
      </c>
      <c r="M69" s="48"/>
      <c r="N69" s="49">
        <f>SUM(N70:N75)</f>
        <v>0</v>
      </c>
      <c r="O69" s="49">
        <f>SUM(O70:O82)</f>
        <v>0</v>
      </c>
      <c r="P69" s="49">
        <f>R69+S69</f>
        <v>656689.99999999814</v>
      </c>
      <c r="Q69" s="49">
        <f t="shared" si="47"/>
        <v>6.1430308699719189</v>
      </c>
      <c r="R69" s="49">
        <f>SUM(R70:R75)</f>
        <v>0</v>
      </c>
      <c r="S69" s="49">
        <f>G69-K69-O69</f>
        <v>656689.99999999814</v>
      </c>
      <c r="T69" s="26">
        <f>I69+M69+Q69</f>
        <v>100.00000000000001</v>
      </c>
    </row>
    <row r="70" spans="1:20" ht="34.5" customHeight="1" x14ac:dyDescent="0.5">
      <c r="A70" s="15">
        <v>60</v>
      </c>
      <c r="B70" s="17" t="str">
        <f>[9]รายการสรุป!$E$5</f>
        <v>ซ่อมแซมอาคารที่ทำการจัดหาที่ดินบริเวณสำนักงานฯ สำนักงานชลประทานที่ 2 อ.เมือง จ.ลำปาง</v>
      </c>
      <c r="C70" s="24" t="str">
        <f>[9]รายการสรุป!$I$5</f>
        <v>0700338006410240</v>
      </c>
      <c r="D70" s="6" t="s">
        <v>33</v>
      </c>
      <c r="E70" s="7">
        <f t="shared" ref="E70" si="122">F70+G70</f>
        <v>910000</v>
      </c>
      <c r="F70" s="7">
        <v>0</v>
      </c>
      <c r="G70" s="8">
        <f>[9]รายการสรุป!$J$5</f>
        <v>910000</v>
      </c>
      <c r="H70" s="7">
        <f t="shared" ref="H70" si="123">J70+K70</f>
        <v>861126.19999999984</v>
      </c>
      <c r="I70" s="7">
        <f t="shared" ref="I70" si="124">H70*100/E70</f>
        <v>94.629252747252735</v>
      </c>
      <c r="J70" s="7">
        <v>0</v>
      </c>
      <c r="K70" s="7">
        <f>113870+72362+46520+90598+64428+95400+2080+94840+11987.1+56781+56781+7407.2+50794.45+2320+44163+50794.45</f>
        <v>861126.19999999984</v>
      </c>
      <c r="L70" s="7">
        <f t="shared" ref="L70" si="125">N70+O70</f>
        <v>0</v>
      </c>
      <c r="M70" s="7">
        <f t="shared" ref="M70" si="126">L70*100/E70</f>
        <v>0</v>
      </c>
      <c r="N70" s="7">
        <v>0</v>
      </c>
      <c r="O70" s="7">
        <v>0</v>
      </c>
      <c r="P70" s="7">
        <f t="shared" ref="P70" si="127">R70+S70</f>
        <v>48873.800000000163</v>
      </c>
      <c r="Q70" s="7">
        <f t="shared" ref="Q70" si="128">P70*100/E70</f>
        <v>5.3707472527472708</v>
      </c>
      <c r="R70" s="7">
        <f t="shared" ref="R70" si="129">F70-J70-N70</f>
        <v>0</v>
      </c>
      <c r="S70" s="7">
        <f t="shared" ref="S70" si="130">G70-K70-O70</f>
        <v>48873.800000000163</v>
      </c>
    </row>
    <row r="71" spans="1:20" ht="30" customHeight="1" x14ac:dyDescent="0.5">
      <c r="A71" s="15">
        <v>61</v>
      </c>
      <c r="B71" s="53" t="str">
        <f>[9]รายการสรุป!$E$6</f>
        <v>ซ่อมแซมห้องฝ่ายสื่อสารสำนักงานฯสำนักงานชลประทานที่ 2 อ.เมือง จ.ลำปาง</v>
      </c>
      <c r="C71" s="24" t="str">
        <f>[9]รายการสรุป!$I$6</f>
        <v>0700338006410241</v>
      </c>
      <c r="D71" s="6" t="s">
        <v>33</v>
      </c>
      <c r="E71" s="7">
        <f t="shared" ref="E71:E84" si="131">F71+G71</f>
        <v>500000</v>
      </c>
      <c r="F71" s="7">
        <v>0</v>
      </c>
      <c r="G71" s="8">
        <f>[9]รายการสรุป!$J$6</f>
        <v>500000</v>
      </c>
      <c r="H71" s="7">
        <f t="shared" ref="H71:H82" si="132">J71+K71</f>
        <v>478991.6</v>
      </c>
      <c r="I71" s="7">
        <f t="shared" ref="I71:I82" si="133">H71*100/E71</f>
        <v>95.798320000000004</v>
      </c>
      <c r="J71" s="7">
        <v>0</v>
      </c>
      <c r="K71" s="7">
        <f>55690+28560+44676+96810+28693+45559.8+24948+11987.1+25236+25236+11110.8+29025.4+11710.8+25236+14512.7</f>
        <v>478991.6</v>
      </c>
      <c r="L71" s="7">
        <f t="shared" ref="L71:L82" si="134">N71+O71</f>
        <v>0</v>
      </c>
      <c r="M71" s="7">
        <f t="shared" ref="M71:M82" si="135">L71*100/E71</f>
        <v>0</v>
      </c>
      <c r="N71" s="7">
        <v>0</v>
      </c>
      <c r="O71" s="7">
        <v>0</v>
      </c>
      <c r="P71" s="7">
        <f t="shared" ref="P71:P82" si="136">R71+S71</f>
        <v>21008.400000000023</v>
      </c>
      <c r="Q71" s="7">
        <f t="shared" ref="Q71:Q84" si="137">P71*100/E71</f>
        <v>4.201680000000005</v>
      </c>
      <c r="R71" s="7">
        <f t="shared" ref="R71:R82" si="138">F71-J71-N71</f>
        <v>0</v>
      </c>
      <c r="S71" s="7">
        <f t="shared" ref="S71:S82" si="139">G71-K71-O71</f>
        <v>21008.400000000023</v>
      </c>
    </row>
    <row r="72" spans="1:20" ht="30" customHeight="1" x14ac:dyDescent="0.5">
      <c r="A72" s="15">
        <v>62</v>
      </c>
      <c r="B72" s="53" t="str">
        <f>[9]รายการสรุป!$E$7</f>
        <v>ซ่อมแซมห้องพิมพ์แบบและเก็บแบบสำนักงานฯ สำนักงานชลประทานที่ 2  อ.เมือง จ.ลำปาง</v>
      </c>
      <c r="C72" s="24" t="str">
        <f>[9]รายการสรุป!$I$7</f>
        <v>0700338006410499</v>
      </c>
      <c r="D72" s="6" t="s">
        <v>33</v>
      </c>
      <c r="E72" s="7">
        <f t="shared" si="131"/>
        <v>500000</v>
      </c>
      <c r="F72" s="7">
        <v>0</v>
      </c>
      <c r="G72" s="8">
        <f>[9]รายการสรุป!$J$7</f>
        <v>500000</v>
      </c>
      <c r="H72" s="7">
        <f t="shared" si="132"/>
        <v>397700.3</v>
      </c>
      <c r="I72" s="7">
        <f t="shared" si="133"/>
        <v>79.540059999999997</v>
      </c>
      <c r="J72" s="7">
        <v>0</v>
      </c>
      <c r="K72" s="7">
        <f>55690+96810+28560+72744+45316.8+25035+11987.1+32532+29025.4</f>
        <v>397700.3</v>
      </c>
      <c r="L72" s="7">
        <f t="shared" si="134"/>
        <v>0</v>
      </c>
      <c r="M72" s="7">
        <f t="shared" si="135"/>
        <v>0</v>
      </c>
      <c r="N72" s="7">
        <v>0</v>
      </c>
      <c r="O72" s="7">
        <v>0</v>
      </c>
      <c r="P72" s="7">
        <f t="shared" si="136"/>
        <v>102299.70000000001</v>
      </c>
      <c r="Q72" s="7">
        <f t="shared" si="137"/>
        <v>20.459940000000003</v>
      </c>
      <c r="R72" s="7">
        <f t="shared" si="138"/>
        <v>0</v>
      </c>
      <c r="S72" s="7">
        <f t="shared" si="139"/>
        <v>102299.70000000001</v>
      </c>
    </row>
    <row r="73" spans="1:20" ht="30" customHeight="1" x14ac:dyDescent="0.5">
      <c r="A73" s="15">
        <v>63</v>
      </c>
      <c r="B73" s="53" t="str">
        <f>[9]รายการสรุป!$E$8</f>
        <v>ซ่อมแซมอาคารบ้านพัก ถ.1-6 บริเวณสำนักงานฯ สำนักงานชลประทานที่ 2 อ.เมือง จ.ลำปาง</v>
      </c>
      <c r="C73" s="24" t="str">
        <f>[9]รายการสรุป!$I$8</f>
        <v>0700338006410242</v>
      </c>
      <c r="D73" s="6" t="s">
        <v>33</v>
      </c>
      <c r="E73" s="7">
        <f t="shared" si="131"/>
        <v>900000</v>
      </c>
      <c r="F73" s="7">
        <v>0</v>
      </c>
      <c r="G73" s="8">
        <f>[9]รายการสรุป!$J$8</f>
        <v>900000</v>
      </c>
      <c r="H73" s="7">
        <f t="shared" si="132"/>
        <v>844776.54999999993</v>
      </c>
      <c r="I73" s="7">
        <f t="shared" si="133"/>
        <v>93.864061111111113</v>
      </c>
      <c r="J73" s="7">
        <v>0</v>
      </c>
      <c r="K73" s="7">
        <f>44150+90000+57823+83658+80995.2+95648+19620+25035+11987.1+30982+44163+44163+25925.2+6390+50794.45+7256.35+31228.8+44163+50794.45</f>
        <v>844776.54999999993</v>
      </c>
      <c r="L73" s="7">
        <f t="shared" si="134"/>
        <v>0</v>
      </c>
      <c r="M73" s="7">
        <f t="shared" si="135"/>
        <v>0</v>
      </c>
      <c r="N73" s="7">
        <v>0</v>
      </c>
      <c r="O73" s="7">
        <v>0</v>
      </c>
      <c r="P73" s="7">
        <f t="shared" si="136"/>
        <v>55223.45000000007</v>
      </c>
      <c r="Q73" s="7">
        <f t="shared" si="137"/>
        <v>6.135938888888897</v>
      </c>
      <c r="R73" s="7">
        <f t="shared" si="138"/>
        <v>0</v>
      </c>
      <c r="S73" s="7">
        <f t="shared" si="139"/>
        <v>55223.45000000007</v>
      </c>
    </row>
    <row r="74" spans="1:20" ht="30" customHeight="1" x14ac:dyDescent="0.5">
      <c r="A74" s="15">
        <v>64</v>
      </c>
      <c r="B74" s="53" t="str">
        <f>[9]รายการสรุป!$E$9</f>
        <v>ซ่อมแซมบ้านพัก จ.12-13 บริเวณสำนักงานฯ สำนักงานชลประทานที่ 2 อ.เมือง จ.ลำปาง</v>
      </c>
      <c r="C74" s="24" t="str">
        <f>[9]รายการสรุป!$I$9</f>
        <v>0700338006410500</v>
      </c>
      <c r="D74" s="6" t="s">
        <v>33</v>
      </c>
      <c r="E74" s="7">
        <f t="shared" si="131"/>
        <v>920000</v>
      </c>
      <c r="F74" s="7">
        <v>0</v>
      </c>
      <c r="G74" s="8">
        <f>[9]รายการสรุป!$J$9</f>
        <v>920000</v>
      </c>
      <c r="H74" s="7">
        <f t="shared" si="132"/>
        <v>876378.89999999991</v>
      </c>
      <c r="I74" s="7">
        <f t="shared" si="133"/>
        <v>95.258576086956509</v>
      </c>
      <c r="J74" s="7">
        <v>0</v>
      </c>
      <c r="K74" s="7">
        <f>86295+99556.6+33440+97720+98796+87363+50400+24910+11987.1+37854+5392+37854+22221.6+43538.1+23421.6+37854+34237.8+43538.1</f>
        <v>876378.89999999991</v>
      </c>
      <c r="L74" s="7">
        <f t="shared" si="134"/>
        <v>0</v>
      </c>
      <c r="M74" s="7">
        <f t="shared" si="135"/>
        <v>0</v>
      </c>
      <c r="N74" s="7">
        <v>0</v>
      </c>
      <c r="O74" s="7">
        <v>0</v>
      </c>
      <c r="P74" s="7">
        <f t="shared" si="136"/>
        <v>43621.100000000093</v>
      </c>
      <c r="Q74" s="7">
        <f t="shared" si="137"/>
        <v>4.7414239130434881</v>
      </c>
      <c r="R74" s="7">
        <f t="shared" si="138"/>
        <v>0</v>
      </c>
      <c r="S74" s="7">
        <f t="shared" si="139"/>
        <v>43621.100000000093</v>
      </c>
    </row>
    <row r="75" spans="1:20" ht="30" customHeight="1" x14ac:dyDescent="0.5">
      <c r="A75" s="15">
        <v>65</v>
      </c>
      <c r="B75" s="53" t="str">
        <f>[9]รายการสรุป!$E$10</f>
        <v>ซ่อมแซมอาคารบ้านพัก จ.14-15  บริเวณสำนักงานฯ สำนักงานชลประทานที่ 2 อ.เมือง จ.ลำปาง</v>
      </c>
      <c r="C75" s="24" t="str">
        <f>[9]รายการสรุป!$I$10</f>
        <v>0700338006410501</v>
      </c>
      <c r="D75" s="6" t="s">
        <v>33</v>
      </c>
      <c r="E75" s="7">
        <f t="shared" si="131"/>
        <v>920000</v>
      </c>
      <c r="F75" s="7">
        <v>0</v>
      </c>
      <c r="G75" s="8">
        <f>[9]รายการสรุป!$J$10</f>
        <v>920000</v>
      </c>
      <c r="H75" s="7">
        <f t="shared" si="132"/>
        <v>873522.29999999981</v>
      </c>
      <c r="I75" s="7">
        <f t="shared" si="133"/>
        <v>94.948076086956505</v>
      </c>
      <c r="J75" s="7">
        <v>0</v>
      </c>
      <c r="K75" s="7">
        <f>86295+87363+98796+86159+95401+99556.6+25040+11987.1+37854+37854+22221.6+43538.1+23421.6+37854+36643.2+43538.1</f>
        <v>873522.29999999981</v>
      </c>
      <c r="L75" s="7">
        <f t="shared" si="134"/>
        <v>0</v>
      </c>
      <c r="M75" s="7">
        <f t="shared" si="135"/>
        <v>0</v>
      </c>
      <c r="N75" s="7">
        <v>0</v>
      </c>
      <c r="O75" s="7">
        <v>0</v>
      </c>
      <c r="P75" s="7">
        <f t="shared" si="136"/>
        <v>46477.700000000186</v>
      </c>
      <c r="Q75" s="7">
        <f t="shared" si="137"/>
        <v>5.0519239130434981</v>
      </c>
      <c r="R75" s="7">
        <f t="shared" si="138"/>
        <v>0</v>
      </c>
      <c r="S75" s="7">
        <f t="shared" si="139"/>
        <v>46477.700000000186</v>
      </c>
    </row>
    <row r="76" spans="1:20" ht="30" customHeight="1" x14ac:dyDescent="0.5">
      <c r="A76" s="15">
        <v>66</v>
      </c>
      <c r="B76" s="53" t="str">
        <f>[9]รายการสรุป!$E$11</f>
        <v>ซ่อมแซมอาคารบ้านพัก จ.16-17  บริเวณสำนักงานฯ สำนักงานชลประทานที่ 2 อ.เมือง จ.ลำปาง</v>
      </c>
      <c r="C76" s="24" t="str">
        <f>[9]รายการสรุป!$I$11</f>
        <v>0700338006410243</v>
      </c>
      <c r="D76" s="6" t="s">
        <v>33</v>
      </c>
      <c r="E76" s="7">
        <f t="shared" si="131"/>
        <v>920000</v>
      </c>
      <c r="F76" s="7">
        <v>0</v>
      </c>
      <c r="G76" s="8">
        <f>[9]รายการสรุป!$J$11</f>
        <v>920000</v>
      </c>
      <c r="H76" s="7">
        <f t="shared" si="132"/>
        <v>872485.65</v>
      </c>
      <c r="I76" s="7">
        <f t="shared" si="133"/>
        <v>94.835396739130431</v>
      </c>
      <c r="J76" s="7">
        <v>0</v>
      </c>
      <c r="K76" s="7">
        <f>86295+30205+95401+87363+99025.6+86159+98796+11987.1+37854+37854+6480+22221.6+58050.8+3120+31228.8+31545+12618+36281.75</f>
        <v>872485.65</v>
      </c>
      <c r="L76" s="7">
        <f t="shared" si="134"/>
        <v>0</v>
      </c>
      <c r="M76" s="7">
        <f t="shared" si="135"/>
        <v>0</v>
      </c>
      <c r="N76" s="7">
        <v>0</v>
      </c>
      <c r="O76" s="7">
        <v>0</v>
      </c>
      <c r="P76" s="7">
        <f t="shared" si="136"/>
        <v>47514.349999999977</v>
      </c>
      <c r="Q76" s="7">
        <f t="shared" si="137"/>
        <v>5.1646032608695629</v>
      </c>
      <c r="R76" s="7">
        <f t="shared" si="138"/>
        <v>0</v>
      </c>
      <c r="S76" s="7">
        <f t="shared" si="139"/>
        <v>47514.349999999977</v>
      </c>
    </row>
    <row r="77" spans="1:20" ht="30" customHeight="1" x14ac:dyDescent="0.5">
      <c r="A77" s="15">
        <v>67</v>
      </c>
      <c r="B77" s="53" t="str">
        <f>[9]รายการสรุป!$E$12</f>
        <v>ซ่อมแซมอาคารบ้านพัก ท.2  บริเวณสำนักงานฯ สำนักงานชลประทานที่ 2 อ.เมือง จ.ลำปาง</v>
      </c>
      <c r="C77" s="24" t="str">
        <f>[9]รายการสรุป!$I$12</f>
        <v>0700338006410502</v>
      </c>
      <c r="D77" s="6" t="s">
        <v>33</v>
      </c>
      <c r="E77" s="7">
        <f t="shared" si="131"/>
        <v>960000</v>
      </c>
      <c r="F77" s="7">
        <v>0</v>
      </c>
      <c r="G77" s="8">
        <f>[9]รายการสรุป!$J$12</f>
        <v>960000</v>
      </c>
      <c r="H77" s="7">
        <f t="shared" si="132"/>
        <v>917152.15</v>
      </c>
      <c r="I77" s="7">
        <f t="shared" si="133"/>
        <v>95.536682291666665</v>
      </c>
      <c r="J77" s="7">
        <v>0</v>
      </c>
      <c r="K77" s="7">
        <f>159834.75+71250+99710+99085+90920+83920+34940+11987.1+38502+38502+18518+44282.65+21518+38502+19318+2080+44282.65</f>
        <v>917152.15</v>
      </c>
      <c r="L77" s="7">
        <f t="shared" si="134"/>
        <v>0</v>
      </c>
      <c r="M77" s="7">
        <f t="shared" si="135"/>
        <v>0</v>
      </c>
      <c r="N77" s="7">
        <v>0</v>
      </c>
      <c r="O77" s="7">
        <v>0</v>
      </c>
      <c r="P77" s="7">
        <f t="shared" si="136"/>
        <v>42847.849999999977</v>
      </c>
      <c r="Q77" s="7">
        <f t="shared" si="137"/>
        <v>4.4633177083333315</v>
      </c>
      <c r="R77" s="7">
        <f t="shared" si="138"/>
        <v>0</v>
      </c>
      <c r="S77" s="7">
        <f t="shared" si="139"/>
        <v>42847.849999999977</v>
      </c>
    </row>
    <row r="78" spans="1:20" ht="30" customHeight="1" x14ac:dyDescent="0.5">
      <c r="A78" s="15">
        <v>68</v>
      </c>
      <c r="B78" s="53" t="str">
        <f>[9]รายการสรุป!$E$13</f>
        <v>ซ่อมแซมอาคารบ้านพัก ท.3  บริเวณสำนักงานฯ สำนักงานชลประทานที่ 2 อ.เมือง จ.ลำปาง</v>
      </c>
      <c r="C78" s="24" t="str">
        <f>[9]รายการสรุป!$I$13</f>
        <v>0700338006410503</v>
      </c>
      <c r="D78" s="6" t="s">
        <v>33</v>
      </c>
      <c r="E78" s="7">
        <f t="shared" si="131"/>
        <v>960000</v>
      </c>
      <c r="F78" s="7">
        <v>0</v>
      </c>
      <c r="G78" s="8">
        <f>[9]รายการสรุป!$J$14</f>
        <v>960000</v>
      </c>
      <c r="H78" s="7">
        <f t="shared" si="132"/>
        <v>875957.49999999988</v>
      </c>
      <c r="I78" s="7">
        <f t="shared" si="133"/>
        <v>91.245572916666646</v>
      </c>
      <c r="J78" s="7">
        <v>0</v>
      </c>
      <c r="K78" s="7">
        <f>159834.75+34940+71250+83920+90920+99085+99710+11987.1+37854+37854+13816.2+43538.1+23421.6+31545+36281.75</f>
        <v>875957.49999999988</v>
      </c>
      <c r="L78" s="7">
        <f t="shared" si="134"/>
        <v>0</v>
      </c>
      <c r="M78" s="7">
        <f t="shared" si="135"/>
        <v>0</v>
      </c>
      <c r="N78" s="7">
        <v>0</v>
      </c>
      <c r="O78" s="7">
        <v>0</v>
      </c>
      <c r="P78" s="7">
        <f t="shared" si="136"/>
        <v>84042.500000000116</v>
      </c>
      <c r="Q78" s="7">
        <f t="shared" si="137"/>
        <v>8.7544270833333453</v>
      </c>
      <c r="R78" s="7">
        <f t="shared" si="138"/>
        <v>0</v>
      </c>
      <c r="S78" s="7">
        <f t="shared" si="139"/>
        <v>84042.500000000116</v>
      </c>
    </row>
    <row r="79" spans="1:20" ht="30" customHeight="1" x14ac:dyDescent="0.5">
      <c r="A79" s="15">
        <v>69</v>
      </c>
      <c r="B79" s="53" t="str">
        <f>[9]รายการสรุป!$E$14</f>
        <v>ซ่อมแซมอาคารบ้านพัก ท.4  บริเวณสำนักงานฯ สำนักงานชลประทานที่ 2 อ.เมือง จ.ลำปาง</v>
      </c>
      <c r="C79" s="24" t="str">
        <f>[9]รายการสรุป!$I$14</f>
        <v>0700338006410244</v>
      </c>
      <c r="D79" s="6" t="s">
        <v>33</v>
      </c>
      <c r="E79" s="7">
        <f t="shared" si="131"/>
        <v>960000</v>
      </c>
      <c r="F79" s="7">
        <v>0</v>
      </c>
      <c r="G79" s="8">
        <f>[9]รายการสรุป!$J$13</f>
        <v>960000</v>
      </c>
      <c r="H79" s="7">
        <f t="shared" si="132"/>
        <v>915854.84999999986</v>
      </c>
      <c r="I79" s="7">
        <f t="shared" si="133"/>
        <v>95.40154687499998</v>
      </c>
      <c r="J79" s="7">
        <v>0</v>
      </c>
      <c r="K79" s="7">
        <f>159834.75+91860+99225+83920+71250+22295+34830+78050+11987.1+44163+44163+3703.6+22221.6+43538.1+23421.6+37854+43538.1</f>
        <v>915854.84999999986</v>
      </c>
      <c r="L79" s="7">
        <f t="shared" si="134"/>
        <v>0</v>
      </c>
      <c r="M79" s="7">
        <f t="shared" si="135"/>
        <v>0</v>
      </c>
      <c r="N79" s="7">
        <v>0</v>
      </c>
      <c r="O79" s="7">
        <v>0</v>
      </c>
      <c r="P79" s="7">
        <f t="shared" si="136"/>
        <v>44145.15000000014</v>
      </c>
      <c r="Q79" s="7">
        <f t="shared" si="137"/>
        <v>4.5984531250000149</v>
      </c>
      <c r="R79" s="7">
        <f t="shared" si="138"/>
        <v>0</v>
      </c>
      <c r="S79" s="7">
        <f t="shared" si="139"/>
        <v>44145.15000000014</v>
      </c>
    </row>
    <row r="80" spans="1:20" ht="30" customHeight="1" x14ac:dyDescent="0.5">
      <c r="A80" s="15">
        <v>70</v>
      </c>
      <c r="B80" s="53" t="str">
        <f>[9]รายการสรุป!$E$15</f>
        <v>ซ่อมแซมอาคารบ้านพัก ท.5  บริเวณสำนักงานฯ สำนักงานชลประทานที่ 2 อ.เมือง จ.ลำปาง</v>
      </c>
      <c r="C80" s="24" t="str">
        <f>[9]รายการสรุป!$I$15</f>
        <v>0700338006410245</v>
      </c>
      <c r="D80" s="6" t="s">
        <v>33</v>
      </c>
      <c r="E80" s="7">
        <f t="shared" si="131"/>
        <v>960000</v>
      </c>
      <c r="F80" s="7">
        <v>0</v>
      </c>
      <c r="G80" s="8">
        <f>[9]รายการสรุป!$J$15</f>
        <v>960000</v>
      </c>
      <c r="H80" s="7">
        <f t="shared" si="132"/>
        <v>904660.54999999993</v>
      </c>
      <c r="I80" s="7">
        <f t="shared" si="133"/>
        <v>94.23547395833333</v>
      </c>
      <c r="J80" s="7">
        <v>0</v>
      </c>
      <c r="K80" s="7">
        <f>159834.75+83920+99225+91860+78050+71250+22295+34350+11987.1+37854+37854+14814.4+43538.1+7256.35+15614.4+37854+6309+50794.45</f>
        <v>904660.54999999993</v>
      </c>
      <c r="L80" s="7">
        <f t="shared" si="134"/>
        <v>0</v>
      </c>
      <c r="M80" s="7">
        <f t="shared" si="135"/>
        <v>0</v>
      </c>
      <c r="N80" s="7">
        <v>0</v>
      </c>
      <c r="O80" s="7">
        <v>0</v>
      </c>
      <c r="P80" s="7">
        <f t="shared" si="136"/>
        <v>55339.45000000007</v>
      </c>
      <c r="Q80" s="7">
        <f t="shared" si="137"/>
        <v>5.7645260416666746</v>
      </c>
      <c r="R80" s="7">
        <f t="shared" si="138"/>
        <v>0</v>
      </c>
      <c r="S80" s="7">
        <f t="shared" si="139"/>
        <v>55339.45000000007</v>
      </c>
    </row>
    <row r="81" spans="1:20" ht="30" customHeight="1" x14ac:dyDescent="0.5">
      <c r="A81" s="15">
        <v>71</v>
      </c>
      <c r="B81" s="53" t="str">
        <f>[9]รายการสรุป!$E$16</f>
        <v>ซ่อมแซมอาคารบ้านพัก ต.1 บริเวณสำนักงานฯ สำนักงานชลประทานที่ 2 อ.เมือง จ.ลำปาง</v>
      </c>
      <c r="C81" s="24" t="str">
        <f>[9]รายการสรุป!$I$16</f>
        <v>0700338006410246</v>
      </c>
      <c r="D81" s="6" t="s">
        <v>33</v>
      </c>
      <c r="E81" s="7">
        <f t="shared" si="131"/>
        <v>910000</v>
      </c>
      <c r="F81" s="7">
        <v>0</v>
      </c>
      <c r="G81" s="8">
        <f>[9]รายการสรุป!$J$16</f>
        <v>910000</v>
      </c>
      <c r="H81" s="7">
        <f t="shared" si="132"/>
        <v>845376.89999999991</v>
      </c>
      <c r="I81" s="7">
        <f t="shared" si="133"/>
        <v>92.898560439560427</v>
      </c>
      <c r="J81" s="7">
        <v>0</v>
      </c>
      <c r="K81" s="7">
        <f>30205+132047.25+71177+62000+98840+73500+78884.8+20580+11987.1+6309+37854+6309+37854+22221.6+50794.45+23421.6+6309+31545+7256.35+36281.75</f>
        <v>845376.89999999991</v>
      </c>
      <c r="L81" s="7">
        <f t="shared" si="134"/>
        <v>0</v>
      </c>
      <c r="M81" s="7">
        <f t="shared" si="135"/>
        <v>0</v>
      </c>
      <c r="N81" s="7">
        <v>0</v>
      </c>
      <c r="O81" s="7">
        <v>0</v>
      </c>
      <c r="P81" s="7">
        <f t="shared" si="136"/>
        <v>64623.100000000093</v>
      </c>
      <c r="Q81" s="7">
        <f t="shared" si="137"/>
        <v>7.1014395604395704</v>
      </c>
      <c r="R81" s="7">
        <f t="shared" si="138"/>
        <v>0</v>
      </c>
      <c r="S81" s="7">
        <f t="shared" si="139"/>
        <v>64623.100000000093</v>
      </c>
    </row>
    <row r="82" spans="1:20" ht="30" customHeight="1" x14ac:dyDescent="0.5">
      <c r="A82" s="15">
        <v>72</v>
      </c>
      <c r="B82" s="53" t="str">
        <f>[9]รายการสรุป!$E$17</f>
        <v>ซ่อมแซมงานสีและตีเส้นจราจรภายในสำนักงานฯ สำนักงานชลประทานที่ 2 อ.เมือง จ.ลำปาง</v>
      </c>
      <c r="C82" s="24" t="str">
        <f>[9]รายการสรุป!$I$17</f>
        <v>0700338006410247</v>
      </c>
      <c r="D82" s="6" t="s">
        <v>33</v>
      </c>
      <c r="E82" s="7">
        <f t="shared" si="131"/>
        <v>370000</v>
      </c>
      <c r="F82" s="7">
        <v>0</v>
      </c>
      <c r="G82" s="8">
        <f>[9]รายการสรุป!$J$17</f>
        <v>370000</v>
      </c>
      <c r="H82" s="7">
        <f t="shared" si="132"/>
        <v>369326.55</v>
      </c>
      <c r="I82" s="7">
        <f t="shared" si="133"/>
        <v>99.81798648648649</v>
      </c>
      <c r="J82" s="7">
        <v>0</v>
      </c>
      <c r="K82" s="7">
        <f>24969+300895+5993.55+31937+5532</f>
        <v>369326.55</v>
      </c>
      <c r="L82" s="7">
        <f t="shared" si="134"/>
        <v>0</v>
      </c>
      <c r="M82" s="7">
        <f t="shared" si="135"/>
        <v>0</v>
      </c>
      <c r="N82" s="7">
        <v>0</v>
      </c>
      <c r="O82" s="7">
        <v>0</v>
      </c>
      <c r="P82" s="7">
        <f t="shared" si="136"/>
        <v>673.45000000001164</v>
      </c>
      <c r="Q82" s="7">
        <f t="shared" si="137"/>
        <v>0.18201351351351666</v>
      </c>
      <c r="R82" s="7">
        <f t="shared" si="138"/>
        <v>0</v>
      </c>
      <c r="S82" s="7">
        <f t="shared" si="139"/>
        <v>673.45000000001164</v>
      </c>
    </row>
    <row r="83" spans="1:20" ht="30" customHeight="1" x14ac:dyDescent="0.5">
      <c r="A83" s="15"/>
      <c r="B83" s="48" t="s">
        <v>39</v>
      </c>
      <c r="C83" s="63"/>
      <c r="D83" s="63"/>
      <c r="E83" s="49">
        <f t="shared" si="131"/>
        <v>818500</v>
      </c>
      <c r="F83" s="49">
        <f>SUM(F84:F89)</f>
        <v>0</v>
      </c>
      <c r="G83" s="49">
        <f>SUM(G84:G100)</f>
        <v>818500</v>
      </c>
      <c r="H83" s="49">
        <f>J83+K83</f>
        <v>753054.5</v>
      </c>
      <c r="I83" s="49">
        <f>H83*100/E83</f>
        <v>92.004215027489309</v>
      </c>
      <c r="J83" s="49">
        <f>SUM(J84:J89)</f>
        <v>0</v>
      </c>
      <c r="K83" s="49">
        <f>SUM(K84:K100)</f>
        <v>753054.5</v>
      </c>
      <c r="L83" s="49">
        <f>N83+O83</f>
        <v>0</v>
      </c>
      <c r="M83" s="48"/>
      <c r="N83" s="49">
        <f>SUM(N84:N89)</f>
        <v>0</v>
      </c>
      <c r="O83" s="49">
        <f>SUM(O84:O100)</f>
        <v>0</v>
      </c>
      <c r="P83" s="49">
        <f>R83+S83</f>
        <v>65445.5</v>
      </c>
      <c r="Q83" s="49">
        <f t="shared" si="137"/>
        <v>7.9957849725106902</v>
      </c>
      <c r="R83" s="49">
        <f>SUM(R84:R89)</f>
        <v>0</v>
      </c>
      <c r="S83" s="49">
        <f>G83-K83-O83</f>
        <v>65445.5</v>
      </c>
      <c r="T83" s="26">
        <f>I83+M83+Q83</f>
        <v>100</v>
      </c>
    </row>
    <row r="84" spans="1:20" ht="30" customHeight="1" x14ac:dyDescent="0.5">
      <c r="A84" s="15">
        <v>73</v>
      </c>
      <c r="B84" s="53" t="str">
        <f>[10]รายการสรุป!$E$5</f>
        <v>ซ่อมแซมถังพักน้ำฝายห้วยจำม่อนก๋องข้าวโครงการขยายผลโครงการหลวงน้ำแขว่ง จ.น่าน</v>
      </c>
      <c r="C84" s="24" t="str">
        <f>[10]รายการสรุป!$I$5</f>
        <v>0700338006410FD7</v>
      </c>
      <c r="D84" s="6" t="s">
        <v>38</v>
      </c>
      <c r="E84" s="7">
        <f t="shared" si="131"/>
        <v>74000</v>
      </c>
      <c r="F84" s="7">
        <v>0</v>
      </c>
      <c r="G84" s="8">
        <f>[10]รายการสรุป!$J$5</f>
        <v>74000</v>
      </c>
      <c r="H84" s="7">
        <f t="shared" ref="H84" si="140">J84+K84</f>
        <v>73996.5</v>
      </c>
      <c r="I84" s="7">
        <f t="shared" ref="I84" si="141">H84*100/E84</f>
        <v>99.995270270270268</v>
      </c>
      <c r="J84" s="7">
        <v>0</v>
      </c>
      <c r="K84" s="7">
        <f>2560+5052+21680+34704.5+10000</f>
        <v>73996.5</v>
      </c>
      <c r="L84" s="7">
        <f t="shared" ref="L84" si="142">N84+O84</f>
        <v>0</v>
      </c>
      <c r="M84" s="7">
        <f t="shared" ref="M84" si="143">L84*100/E84</f>
        <v>0</v>
      </c>
      <c r="N84" s="7">
        <v>0</v>
      </c>
      <c r="O84" s="7">
        <v>0</v>
      </c>
      <c r="P84" s="7">
        <f t="shared" ref="P84" si="144">R84+S84</f>
        <v>3.5</v>
      </c>
      <c r="Q84" s="7">
        <f t="shared" si="137"/>
        <v>4.72972972972973E-3</v>
      </c>
      <c r="R84" s="7">
        <f t="shared" ref="R84" si="145">F84-J84-N84</f>
        <v>0</v>
      </c>
      <c r="S84" s="7">
        <f t="shared" ref="S84" si="146">G84-K84-O84</f>
        <v>3.5</v>
      </c>
    </row>
    <row r="85" spans="1:20" ht="30" customHeight="1" x14ac:dyDescent="0.5">
      <c r="A85" s="15">
        <v>74</v>
      </c>
      <c r="B85" s="53" t="str">
        <f>[10]รายการสรุป!$E$6</f>
        <v>ซ่อมแซมรางริน LMC อ่างเก็บน้ำน้ำและจำนวน 1 สาย จ.น่าน</v>
      </c>
      <c r="C85" s="24" t="str">
        <f>[10]รายการสรุป!$I$6</f>
        <v>0700338006410FN5</v>
      </c>
      <c r="D85" s="6" t="s">
        <v>38</v>
      </c>
      <c r="E85" s="7">
        <f t="shared" ref="E85:E90" si="147">F85+G85</f>
        <v>45000</v>
      </c>
      <c r="F85" s="7">
        <v>0</v>
      </c>
      <c r="G85" s="8">
        <f>[10]รายการสรุป!$J$6</f>
        <v>45000</v>
      </c>
      <c r="H85" s="7">
        <f t="shared" ref="H85:H90" si="148">J85+K85</f>
        <v>44990.6</v>
      </c>
      <c r="I85" s="7">
        <f t="shared" ref="I85:I90" si="149">H85*100/E85</f>
        <v>99.979111111111109</v>
      </c>
      <c r="J85" s="7">
        <v>0</v>
      </c>
      <c r="K85" s="7">
        <f>13881.8+12210.8+18658+240</f>
        <v>44990.6</v>
      </c>
      <c r="L85" s="7">
        <f t="shared" ref="L85:L90" si="150">N85+O85</f>
        <v>0</v>
      </c>
      <c r="M85" s="7">
        <f t="shared" ref="M85:M90" si="151">L85*100/E85</f>
        <v>0</v>
      </c>
      <c r="N85" s="7">
        <v>0</v>
      </c>
      <c r="O85" s="7">
        <v>0</v>
      </c>
      <c r="P85" s="7">
        <f t="shared" ref="P85:P90" si="152">R85+S85</f>
        <v>9.4000000000014552</v>
      </c>
      <c r="Q85" s="7">
        <f t="shared" ref="Q85:Q90" si="153">P85*100/E85</f>
        <v>2.0888888888892121E-2</v>
      </c>
      <c r="R85" s="7">
        <f t="shared" ref="R85:R90" si="154">F85-J85-N85</f>
        <v>0</v>
      </c>
      <c r="S85" s="7">
        <f t="shared" ref="S85:S90" si="155">G85-K85-O85</f>
        <v>9.4000000000014552</v>
      </c>
    </row>
    <row r="86" spans="1:20" ht="30" customHeight="1" x14ac:dyDescent="0.5">
      <c r="A86" s="15">
        <v>75</v>
      </c>
      <c r="B86" s="53" t="str">
        <f>[10]รายการสรุป!$E$7</f>
        <v>ซ่อมแซมระบบส่งน้ำและหัวงานอ่างเก็บน้ำห้วยหวะ (พรด.) จ.น่าน</v>
      </c>
      <c r="C86" s="24" t="str">
        <f>[10]รายการสรุป!$I$7</f>
        <v>0700338006410FN6</v>
      </c>
      <c r="D86" s="6" t="s">
        <v>38</v>
      </c>
      <c r="E86" s="7">
        <f t="shared" si="147"/>
        <v>53000</v>
      </c>
      <c r="F86" s="7">
        <v>0</v>
      </c>
      <c r="G86" s="8">
        <f>[10]รายการสรุป!$J$7</f>
        <v>53000</v>
      </c>
      <c r="H86" s="7">
        <f t="shared" si="148"/>
        <v>52989.8</v>
      </c>
      <c r="I86" s="7">
        <f t="shared" si="149"/>
        <v>99.980754716981139</v>
      </c>
      <c r="J86" s="7">
        <v>0</v>
      </c>
      <c r="K86" s="7">
        <f>12734+13881.8+20018+6116+240</f>
        <v>52989.8</v>
      </c>
      <c r="L86" s="7">
        <f t="shared" si="150"/>
        <v>0</v>
      </c>
      <c r="M86" s="7">
        <f t="shared" si="151"/>
        <v>0</v>
      </c>
      <c r="N86" s="7">
        <v>0</v>
      </c>
      <c r="O86" s="7">
        <v>0</v>
      </c>
      <c r="P86" s="7">
        <f t="shared" si="152"/>
        <v>10.19999999999709</v>
      </c>
      <c r="Q86" s="7">
        <f t="shared" si="153"/>
        <v>1.9245283018862434E-2</v>
      </c>
      <c r="R86" s="7">
        <f t="shared" si="154"/>
        <v>0</v>
      </c>
      <c r="S86" s="7">
        <f t="shared" si="155"/>
        <v>10.19999999999709</v>
      </c>
    </row>
    <row r="87" spans="1:20" ht="30" customHeight="1" x14ac:dyDescent="0.5">
      <c r="A87" s="15">
        <v>76</v>
      </c>
      <c r="B87" s="53" t="str">
        <f>[10]รายการสรุป!$E$8</f>
        <v>ซ่อมแซม Gate Valve และ Control room อ่างเก็บน้ำน้ำพงษ์ จ.น่าน</v>
      </c>
      <c r="C87" s="24" t="str">
        <f>[10]รายการสรุป!$I$8</f>
        <v>0700338006410FD8</v>
      </c>
      <c r="D87" s="6" t="s">
        <v>38</v>
      </c>
      <c r="E87" s="7">
        <f t="shared" si="147"/>
        <v>8000</v>
      </c>
      <c r="F87" s="7">
        <v>0</v>
      </c>
      <c r="G87" s="8">
        <f>[10]รายการสรุป!$J$8</f>
        <v>8000</v>
      </c>
      <c r="H87" s="7">
        <f t="shared" si="148"/>
        <v>8000</v>
      </c>
      <c r="I87" s="7">
        <f t="shared" si="149"/>
        <v>100</v>
      </c>
      <c r="J87" s="7">
        <v>0</v>
      </c>
      <c r="K87" s="7">
        <f>8000</f>
        <v>8000</v>
      </c>
      <c r="L87" s="7">
        <f t="shared" si="150"/>
        <v>0</v>
      </c>
      <c r="M87" s="7">
        <f t="shared" si="151"/>
        <v>0</v>
      </c>
      <c r="N87" s="7">
        <v>0</v>
      </c>
      <c r="O87" s="7">
        <v>0</v>
      </c>
      <c r="P87" s="7">
        <f t="shared" si="152"/>
        <v>0</v>
      </c>
      <c r="Q87" s="7">
        <f t="shared" si="153"/>
        <v>0</v>
      </c>
      <c r="R87" s="7">
        <f t="shared" si="154"/>
        <v>0</v>
      </c>
      <c r="S87" s="7">
        <f t="shared" si="155"/>
        <v>0</v>
      </c>
    </row>
    <row r="88" spans="1:20" ht="30" customHeight="1" x14ac:dyDescent="0.5">
      <c r="A88" s="15">
        <v>77</v>
      </c>
      <c r="B88" s="53" t="str">
        <f>[10]รายการสรุป!$E$9</f>
        <v>ซ่อมแซมรางริน 1R-RMC อ่างเก็บน้ำน้ำปอน จำนวน 1 สาย จ.น่าน</v>
      </c>
      <c r="C88" s="24" t="str">
        <f>[10]รายการสรุป!$I$9</f>
        <v>0700338006410FD9</v>
      </c>
      <c r="D88" s="6" t="s">
        <v>38</v>
      </c>
      <c r="E88" s="7">
        <f t="shared" si="147"/>
        <v>45000</v>
      </c>
      <c r="F88" s="7">
        <v>0</v>
      </c>
      <c r="G88" s="8">
        <f>[10]รายการสรุป!$J$9</f>
        <v>45000</v>
      </c>
      <c r="H88" s="7">
        <f t="shared" si="148"/>
        <v>44827.799999999996</v>
      </c>
      <c r="I88" s="7">
        <f t="shared" si="149"/>
        <v>99.617333333333335</v>
      </c>
      <c r="J88" s="7">
        <v>0</v>
      </c>
      <c r="K88" s="7">
        <f>6919.1+13881.8+14410.8+9616.1</f>
        <v>44827.799999999996</v>
      </c>
      <c r="L88" s="7">
        <f t="shared" si="150"/>
        <v>0</v>
      </c>
      <c r="M88" s="7">
        <f t="shared" si="151"/>
        <v>0</v>
      </c>
      <c r="N88" s="7">
        <v>0</v>
      </c>
      <c r="O88" s="7">
        <v>0</v>
      </c>
      <c r="P88" s="7">
        <f t="shared" si="152"/>
        <v>172.20000000000437</v>
      </c>
      <c r="Q88" s="7">
        <f t="shared" si="153"/>
        <v>0.38266666666667637</v>
      </c>
      <c r="R88" s="7">
        <f t="shared" si="154"/>
        <v>0</v>
      </c>
      <c r="S88" s="7">
        <f t="shared" si="155"/>
        <v>172.20000000000437</v>
      </c>
    </row>
    <row r="89" spans="1:20" ht="30" customHeight="1" x14ac:dyDescent="0.5">
      <c r="A89" s="15">
        <v>78</v>
      </c>
      <c r="B89" s="53" t="str">
        <f>[10]รายการสรุป!$E$10</f>
        <v>ซ่อมแซมระบบส่งน้ำและหัวงานอ่างเก็บน้ำต้วน (พรด.)จ.น่าน</v>
      </c>
      <c r="C89" s="24" t="str">
        <f>[10]รายการสรุป!$I$10</f>
        <v>0700338006410FN7</v>
      </c>
      <c r="D89" s="6" t="s">
        <v>38</v>
      </c>
      <c r="E89" s="7">
        <f t="shared" si="147"/>
        <v>49000</v>
      </c>
      <c r="F89" s="7">
        <v>0</v>
      </c>
      <c r="G89" s="8">
        <f>[10]รายการสรุป!$J$10</f>
        <v>49000</v>
      </c>
      <c r="H89" s="7">
        <f t="shared" si="148"/>
        <v>48863.3</v>
      </c>
      <c r="I89" s="7">
        <f t="shared" si="149"/>
        <v>99.72102040816327</v>
      </c>
      <c r="J89" s="7">
        <v>0</v>
      </c>
      <c r="K89" s="7">
        <f>13483+6940.9+7205.4+8474+12760</f>
        <v>48863.3</v>
      </c>
      <c r="L89" s="7">
        <f t="shared" si="150"/>
        <v>0</v>
      </c>
      <c r="M89" s="7">
        <f t="shared" si="151"/>
        <v>0</v>
      </c>
      <c r="N89" s="7">
        <v>0</v>
      </c>
      <c r="O89" s="7">
        <v>0</v>
      </c>
      <c r="P89" s="7">
        <f t="shared" si="152"/>
        <v>136.69999999999709</v>
      </c>
      <c r="Q89" s="7">
        <f t="shared" si="153"/>
        <v>0.27897959183672877</v>
      </c>
      <c r="R89" s="7">
        <f t="shared" si="154"/>
        <v>0</v>
      </c>
      <c r="S89" s="7">
        <f t="shared" si="155"/>
        <v>136.69999999999709</v>
      </c>
    </row>
    <row r="90" spans="1:20" ht="30" customHeight="1" x14ac:dyDescent="0.5">
      <c r="A90" s="15">
        <v>79</v>
      </c>
      <c r="B90" s="53" t="str">
        <f>[10]รายการสรุป!$E$11</f>
        <v>ซ่อมแซม Gate Valve และ Control room อ่างห้วยลากปืน จ.น่าน</v>
      </c>
      <c r="C90" s="24" t="str">
        <f>[10]รายการสรุป!$I$11</f>
        <v>0700338006410FE0</v>
      </c>
      <c r="D90" s="6" t="s">
        <v>38</v>
      </c>
      <c r="E90" s="7">
        <f t="shared" si="147"/>
        <v>15000</v>
      </c>
      <c r="F90" s="7">
        <v>0</v>
      </c>
      <c r="G90" s="8">
        <f>[10]รายการสรุป!$J$11</f>
        <v>15000</v>
      </c>
      <c r="H90" s="7">
        <f t="shared" si="148"/>
        <v>14900.9</v>
      </c>
      <c r="I90" s="7">
        <f t="shared" si="149"/>
        <v>99.339333333333329</v>
      </c>
      <c r="J90" s="7">
        <v>0</v>
      </c>
      <c r="K90" s="7">
        <f>7480+6940.9+480</f>
        <v>14900.9</v>
      </c>
      <c r="L90" s="7">
        <f t="shared" si="150"/>
        <v>0</v>
      </c>
      <c r="M90" s="7">
        <f t="shared" si="151"/>
        <v>0</v>
      </c>
      <c r="N90" s="7">
        <v>0</v>
      </c>
      <c r="O90" s="7">
        <v>0</v>
      </c>
      <c r="P90" s="7">
        <f t="shared" si="152"/>
        <v>99.100000000000364</v>
      </c>
      <c r="Q90" s="7">
        <f t="shared" si="153"/>
        <v>0.66066666666666907</v>
      </c>
      <c r="R90" s="7">
        <f t="shared" si="154"/>
        <v>0</v>
      </c>
      <c r="S90" s="7">
        <f t="shared" si="155"/>
        <v>99.100000000000364</v>
      </c>
    </row>
    <row r="91" spans="1:20" ht="30" customHeight="1" x14ac:dyDescent="0.5">
      <c r="A91" s="15">
        <v>80</v>
      </c>
      <c r="B91" s="53" t="str">
        <f>[10]รายการสรุป!$E$12</f>
        <v>ซ่อมแซมรางรินฝายปางปุกจำนวน 1 สาย จ.น่าน</v>
      </c>
      <c r="C91" s="24" t="str">
        <f>[10]รายการสรุป!$I$12</f>
        <v>0700338006410FE1</v>
      </c>
      <c r="D91" s="6" t="s">
        <v>38</v>
      </c>
      <c r="E91" s="7">
        <f t="shared" ref="E91:E102" si="156">F91+G91</f>
        <v>45000</v>
      </c>
      <c r="F91" s="7">
        <v>0</v>
      </c>
      <c r="G91" s="8">
        <f>[10]รายการสรุป!$J$12</f>
        <v>45000</v>
      </c>
      <c r="H91" s="7">
        <f t="shared" ref="H91:H95" si="157">J91+K91</f>
        <v>44959.95</v>
      </c>
      <c r="I91" s="7">
        <f t="shared" ref="I91:I95" si="158">H91*100/E91</f>
        <v>99.911000000000001</v>
      </c>
      <c r="J91" s="7">
        <v>0</v>
      </c>
      <c r="K91" s="7">
        <f>19269+6240+7772.95+1280+5758+4640</f>
        <v>44959.95</v>
      </c>
      <c r="L91" s="7">
        <f t="shared" ref="L91:L95" si="159">N91+O91</f>
        <v>0</v>
      </c>
      <c r="M91" s="7">
        <f t="shared" ref="M91:M95" si="160">L91*100/E91</f>
        <v>0</v>
      </c>
      <c r="N91" s="7">
        <v>0</v>
      </c>
      <c r="O91" s="7">
        <v>0</v>
      </c>
      <c r="P91" s="7">
        <f t="shared" ref="P91:P95" si="161">R91+S91</f>
        <v>40.05000000000291</v>
      </c>
      <c r="Q91" s="7">
        <f t="shared" ref="Q91:Q102" si="162">P91*100/E91</f>
        <v>8.9000000000006463E-2</v>
      </c>
      <c r="R91" s="7">
        <f t="shared" ref="R91:R95" si="163">F91-J91-N91</f>
        <v>0</v>
      </c>
      <c r="S91" s="7">
        <f t="shared" ref="S91:S95" si="164">G91-K91-O91</f>
        <v>40.05000000000291</v>
      </c>
    </row>
    <row r="92" spans="1:20" ht="30" customHeight="1" x14ac:dyDescent="0.5">
      <c r="A92" s="15">
        <v>81</v>
      </c>
      <c r="B92" s="53" t="str">
        <f>[10]รายการสรุป!$E$13</f>
        <v>ซ่อมแซมบำรุงรักษาระบบท่อส่งน้ำและถังพักน้ำโครงการพัฒนาบ้านกอก-บ้านจูน (พรด.) จ.น่าน</v>
      </c>
      <c r="C92" s="24" t="str">
        <f>[10]รายการสรุป!$I$13</f>
        <v>0700338006410FE2</v>
      </c>
      <c r="D92" s="6" t="s">
        <v>38</v>
      </c>
      <c r="E92" s="7">
        <f t="shared" si="156"/>
        <v>23000</v>
      </c>
      <c r="F92" s="7">
        <v>0</v>
      </c>
      <c r="G92" s="8">
        <f>[10]รายการสรุป!$J$13</f>
        <v>23000</v>
      </c>
      <c r="H92" s="7">
        <f t="shared" si="157"/>
        <v>22786.3</v>
      </c>
      <c r="I92" s="7">
        <f t="shared" si="158"/>
        <v>99.070869565217393</v>
      </c>
      <c r="J92" s="7">
        <v>0</v>
      </c>
      <c r="K92" s="7">
        <f>6940.9+3302.7+6940.9+2801.8+2560+240</f>
        <v>22786.3</v>
      </c>
      <c r="L92" s="7">
        <f t="shared" si="159"/>
        <v>0</v>
      </c>
      <c r="M92" s="7">
        <f t="shared" si="160"/>
        <v>0</v>
      </c>
      <c r="N92" s="7">
        <v>0</v>
      </c>
      <c r="O92" s="7">
        <v>0</v>
      </c>
      <c r="P92" s="7">
        <f t="shared" si="161"/>
        <v>213.70000000000073</v>
      </c>
      <c r="Q92" s="7">
        <f t="shared" si="162"/>
        <v>0.92913043478261181</v>
      </c>
      <c r="R92" s="7">
        <f t="shared" si="163"/>
        <v>0</v>
      </c>
      <c r="S92" s="7">
        <f t="shared" si="164"/>
        <v>213.70000000000073</v>
      </c>
    </row>
    <row r="93" spans="1:20" ht="30" customHeight="1" x14ac:dyDescent="0.5">
      <c r="A93" s="15">
        <v>82</v>
      </c>
      <c r="B93" s="53" t="str">
        <f>[10]รายการสรุป!$E$14</f>
        <v>ซ่อมแซมรางริน 2R-LMC อ่างเก็บน้ำน้ำเลียบ จำนวน 1 สาย จ.น่าน</v>
      </c>
      <c r="C93" s="24" t="str">
        <f>[10]รายการสรุป!$I$14</f>
        <v>0700338006410FN8</v>
      </c>
      <c r="D93" s="6" t="s">
        <v>38</v>
      </c>
      <c r="E93" s="7">
        <f t="shared" si="156"/>
        <v>45000</v>
      </c>
      <c r="F93" s="7">
        <v>0</v>
      </c>
      <c r="G93" s="8">
        <f>[10]รายการสรุป!$J$14</f>
        <v>45000</v>
      </c>
      <c r="H93" s="7">
        <f t="shared" si="157"/>
        <v>44930</v>
      </c>
      <c r="I93" s="7">
        <f t="shared" si="158"/>
        <v>99.844444444444449</v>
      </c>
      <c r="J93" s="7">
        <v>0</v>
      </c>
      <c r="K93" s="7">
        <f>44930</f>
        <v>44930</v>
      </c>
      <c r="L93" s="7">
        <f t="shared" si="159"/>
        <v>0</v>
      </c>
      <c r="M93" s="7">
        <f t="shared" si="160"/>
        <v>0</v>
      </c>
      <c r="N93" s="7">
        <v>0</v>
      </c>
      <c r="O93" s="7">
        <v>0</v>
      </c>
      <c r="P93" s="7">
        <f t="shared" si="161"/>
        <v>70</v>
      </c>
      <c r="Q93" s="7">
        <f t="shared" si="162"/>
        <v>0.15555555555555556</v>
      </c>
      <c r="R93" s="7">
        <f t="shared" si="163"/>
        <v>0</v>
      </c>
      <c r="S93" s="7">
        <f t="shared" si="164"/>
        <v>70</v>
      </c>
    </row>
    <row r="94" spans="1:20" ht="30" customHeight="1" x14ac:dyDescent="0.5">
      <c r="A94" s="15">
        <v>83</v>
      </c>
      <c r="B94" s="53" t="str">
        <f>[10]รายการสรุป!$E$15</f>
        <v>ซ่อมแซม Gate Valve และ Control room อ่างห้วยขอนแก่น 2 จ.น่าน</v>
      </c>
      <c r="C94" s="24" t="str">
        <f>[10]รายการสรุป!$I$15</f>
        <v>0700338006410FN9</v>
      </c>
      <c r="D94" s="6" t="s">
        <v>38</v>
      </c>
      <c r="E94" s="7">
        <f t="shared" si="156"/>
        <v>15000</v>
      </c>
      <c r="F94" s="7">
        <v>0</v>
      </c>
      <c r="G94" s="8">
        <f>[10]รายการสรุป!$J$15</f>
        <v>15000</v>
      </c>
      <c r="H94" s="7">
        <f t="shared" si="157"/>
        <v>14940.9</v>
      </c>
      <c r="I94" s="7">
        <f t="shared" si="158"/>
        <v>99.605999999999995</v>
      </c>
      <c r="J94" s="7">
        <v>0</v>
      </c>
      <c r="K94" s="7">
        <f>8000+6940.9</f>
        <v>14940.9</v>
      </c>
      <c r="L94" s="7">
        <f t="shared" si="159"/>
        <v>0</v>
      </c>
      <c r="M94" s="7">
        <f t="shared" si="160"/>
        <v>0</v>
      </c>
      <c r="N94" s="7">
        <v>0</v>
      </c>
      <c r="O94" s="7">
        <v>0</v>
      </c>
      <c r="P94" s="7">
        <f t="shared" si="161"/>
        <v>59.100000000000364</v>
      </c>
      <c r="Q94" s="7">
        <f t="shared" si="162"/>
        <v>0.3940000000000024</v>
      </c>
      <c r="R94" s="7">
        <f t="shared" si="163"/>
        <v>0</v>
      </c>
      <c r="S94" s="7">
        <f t="shared" si="164"/>
        <v>59.100000000000364</v>
      </c>
    </row>
    <row r="95" spans="1:20" ht="30" customHeight="1" x14ac:dyDescent="0.5">
      <c r="A95" s="15">
        <v>84</v>
      </c>
      <c r="B95" s="53" t="str">
        <f>[10]รายการสรุป!$E$16</f>
        <v>ซ่อมแซมบำรุงรักษาระบบท่อส่งน้ำโครงการพัฒนาเกษตรที่สูงบ้านสบขุ่น จ.น่าน</v>
      </c>
      <c r="C95" s="24" t="str">
        <f>[10]รายการสรุป!$I$16</f>
        <v>0700338006410FO0</v>
      </c>
      <c r="D95" s="6" t="s">
        <v>38</v>
      </c>
      <c r="E95" s="7">
        <f t="shared" si="156"/>
        <v>6000</v>
      </c>
      <c r="F95" s="7">
        <v>0</v>
      </c>
      <c r="G95" s="8">
        <f>[10]รายการสรุป!$J$16</f>
        <v>6000</v>
      </c>
      <c r="H95" s="7">
        <f t="shared" si="157"/>
        <v>5920</v>
      </c>
      <c r="I95" s="7">
        <f t="shared" si="158"/>
        <v>98.666666666666671</v>
      </c>
      <c r="J95" s="7">
        <v>0</v>
      </c>
      <c r="K95" s="7">
        <f>5920</f>
        <v>5920</v>
      </c>
      <c r="L95" s="7">
        <f t="shared" si="159"/>
        <v>0</v>
      </c>
      <c r="M95" s="7">
        <f t="shared" si="160"/>
        <v>0</v>
      </c>
      <c r="N95" s="7">
        <v>0</v>
      </c>
      <c r="O95" s="7">
        <v>0</v>
      </c>
      <c r="P95" s="7">
        <f t="shared" si="161"/>
        <v>80</v>
      </c>
      <c r="Q95" s="7">
        <f t="shared" si="162"/>
        <v>1.3333333333333333</v>
      </c>
      <c r="R95" s="7">
        <f t="shared" si="163"/>
        <v>0</v>
      </c>
      <c r="S95" s="7">
        <f t="shared" si="164"/>
        <v>80</v>
      </c>
    </row>
    <row r="96" spans="1:20" ht="29.25" customHeight="1" x14ac:dyDescent="0.5">
      <c r="A96" s="15">
        <v>85</v>
      </c>
      <c r="B96" s="53" t="str">
        <f>[11]รายการสรุป!$E$5</f>
        <v>ซ่อมแซมระบบส่งน้ำบ้านห้วยสะแตงโครงการชลประทานน่าน ต.งอบ อ.ทุ่งช้าง จ.น่าน</v>
      </c>
      <c r="C96" s="24" t="str">
        <f>[11]รายการสรุป!$I$5</f>
        <v>0700338006410514</v>
      </c>
      <c r="D96" s="6" t="s">
        <v>55</v>
      </c>
      <c r="E96" s="7">
        <f t="shared" ref="E96:E98" si="165">F96+G96</f>
        <v>70000</v>
      </c>
      <c r="F96" s="7">
        <v>0</v>
      </c>
      <c r="G96" s="8">
        <f>[11]รายการสรุป!$J$5</f>
        <v>70000</v>
      </c>
      <c r="H96" s="7">
        <f t="shared" ref="H96:H98" si="166">J96+K96</f>
        <v>69411.600000000006</v>
      </c>
      <c r="I96" s="7">
        <f t="shared" ref="I96:I98" si="167">H96*100/E96</f>
        <v>99.159428571428592</v>
      </c>
      <c r="J96" s="7">
        <v>0</v>
      </c>
      <c r="K96" s="7">
        <f>13881.8+14410.8+5940+22290+2080+5692+5117</f>
        <v>69411.600000000006</v>
      </c>
      <c r="L96" s="7">
        <f t="shared" ref="L96:L98" si="168">N96+O96</f>
        <v>0</v>
      </c>
      <c r="M96" s="7">
        <f t="shared" ref="M96:M98" si="169">L96*100/E96</f>
        <v>0</v>
      </c>
      <c r="N96" s="7">
        <v>0</v>
      </c>
      <c r="O96" s="7">
        <v>0</v>
      </c>
      <c r="P96" s="7">
        <f t="shared" ref="P96:P98" si="170">R96+S96</f>
        <v>588.39999999999418</v>
      </c>
      <c r="Q96" s="7">
        <f t="shared" ref="Q96:Q98" si="171">P96*100/E96</f>
        <v>0.84057142857142031</v>
      </c>
      <c r="R96" s="7">
        <f t="shared" ref="R96:R98" si="172">F96-J96-N96</f>
        <v>0</v>
      </c>
      <c r="S96" s="7">
        <f t="shared" ref="S96:S98" si="173">G96-K96-O96</f>
        <v>588.39999999999418</v>
      </c>
    </row>
    <row r="97" spans="1:20" ht="44.25" customHeight="1" x14ac:dyDescent="0.5">
      <c r="A97" s="15">
        <v>86</v>
      </c>
      <c r="B97" s="53" t="str">
        <f>[11]รายการสรุป!$E$6</f>
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</c>
      <c r="C97" s="24" t="str">
        <f>[11]รายการสรุป!$I$6</f>
        <v>0700338006410515</v>
      </c>
      <c r="D97" s="6" t="s">
        <v>55</v>
      </c>
      <c r="E97" s="7">
        <f t="shared" si="165"/>
        <v>45500</v>
      </c>
      <c r="F97" s="7">
        <v>0</v>
      </c>
      <c r="G97" s="8">
        <f>[11]รายการสรุป!$J$6</f>
        <v>45500</v>
      </c>
      <c r="H97" s="7">
        <f t="shared" si="166"/>
        <v>45499.8</v>
      </c>
      <c r="I97" s="7">
        <f t="shared" si="167"/>
        <v>99.99956043956044</v>
      </c>
      <c r="J97" s="7">
        <v>0</v>
      </c>
      <c r="K97" s="7">
        <f>17960+21534.4+6005.4</f>
        <v>45499.8</v>
      </c>
      <c r="L97" s="7">
        <f t="shared" si="168"/>
        <v>0</v>
      </c>
      <c r="M97" s="7">
        <f t="shared" si="169"/>
        <v>0</v>
      </c>
      <c r="N97" s="7">
        <v>0</v>
      </c>
      <c r="O97" s="7">
        <v>0</v>
      </c>
      <c r="P97" s="7">
        <f t="shared" si="170"/>
        <v>0.19999999999708962</v>
      </c>
      <c r="Q97" s="7">
        <f t="shared" si="171"/>
        <v>4.3956043955404309E-4</v>
      </c>
      <c r="R97" s="7">
        <f t="shared" si="172"/>
        <v>0</v>
      </c>
      <c r="S97" s="7">
        <f t="shared" si="173"/>
        <v>0.19999999999708962</v>
      </c>
    </row>
    <row r="98" spans="1:20" ht="28.5" customHeight="1" x14ac:dyDescent="0.5">
      <c r="A98" s="15">
        <v>87</v>
      </c>
      <c r="B98" s="53" t="str">
        <f>[11]รายการสรุป!$E$7</f>
        <v>ซ่อมแซมรางริน LMC ฝายน้ำเลียง โครงการชลประทานน่าน  ต.ปอน อ.ทุ่งช้าง จ.น่าน</v>
      </c>
      <c r="C98" s="24" t="str">
        <f>[11]รายการสรุป!$I$7</f>
        <v>0700338006410516</v>
      </c>
      <c r="D98" s="6" t="s">
        <v>55</v>
      </c>
      <c r="E98" s="7">
        <f t="shared" si="165"/>
        <v>45000</v>
      </c>
      <c r="F98" s="7">
        <v>0</v>
      </c>
      <c r="G98" s="8">
        <f>[11]รายการสรุป!$J$7</f>
        <v>45000</v>
      </c>
      <c r="H98" s="7">
        <f t="shared" si="166"/>
        <v>45000</v>
      </c>
      <c r="I98" s="7">
        <f t="shared" si="167"/>
        <v>100</v>
      </c>
      <c r="J98" s="7">
        <v>0</v>
      </c>
      <c r="K98" s="7">
        <f>4792+10208+30000</f>
        <v>45000</v>
      </c>
      <c r="L98" s="7">
        <f t="shared" si="168"/>
        <v>0</v>
      </c>
      <c r="M98" s="7">
        <f t="shared" si="169"/>
        <v>0</v>
      </c>
      <c r="N98" s="7">
        <v>0</v>
      </c>
      <c r="O98" s="7">
        <v>0</v>
      </c>
      <c r="P98" s="7">
        <f t="shared" si="170"/>
        <v>0</v>
      </c>
      <c r="Q98" s="7">
        <f t="shared" si="171"/>
        <v>0</v>
      </c>
      <c r="R98" s="7">
        <f t="shared" si="172"/>
        <v>0</v>
      </c>
      <c r="S98" s="7">
        <f t="shared" si="173"/>
        <v>0</v>
      </c>
    </row>
    <row r="99" spans="1:20" ht="28.5" customHeight="1" x14ac:dyDescent="0.5">
      <c r="A99" s="15">
        <v>88</v>
      </c>
      <c r="B99" s="53" t="str">
        <f>[11]รายการสรุป!$E$8</f>
        <v>ซ่อมแซมทางระบายน้ำล้นอ่างเก็บน้ำน้ำพงษ์(ขนาดกลาง)  จ.น่าน</v>
      </c>
      <c r="C99" s="24" t="str">
        <f>[11]รายการสรุป!$I$8</f>
        <v>0700338006410513</v>
      </c>
      <c r="D99" s="6" t="s">
        <v>70</v>
      </c>
      <c r="E99" s="7">
        <f t="shared" ref="E99" si="174">F99+G99</f>
        <v>220000</v>
      </c>
      <c r="F99" s="7">
        <v>0</v>
      </c>
      <c r="G99" s="8">
        <f>[11]รายการสรุป!$J$8</f>
        <v>220000</v>
      </c>
      <c r="H99" s="7">
        <f t="shared" ref="H99" si="175">J99+K99</f>
        <v>156227.04999999999</v>
      </c>
      <c r="I99" s="7">
        <f t="shared" ref="I99" si="176">H99*100/E99</f>
        <v>71.012295454545452</v>
      </c>
      <c r="J99" s="7">
        <v>0</v>
      </c>
      <c r="K99" s="7">
        <f>10025+18927+5463+6240+7520+5126+6378+18927+2970+21769.05+6240+4640+5610+18927+6240+3528+2350+5347</f>
        <v>156227.04999999999</v>
      </c>
      <c r="L99" s="7">
        <f t="shared" ref="L99" si="177">N99+O99</f>
        <v>0</v>
      </c>
      <c r="M99" s="7">
        <f t="shared" ref="M99" si="178">L99*100/E99</f>
        <v>0</v>
      </c>
      <c r="N99" s="7">
        <v>0</v>
      </c>
      <c r="O99" s="7">
        <v>0</v>
      </c>
      <c r="P99" s="7">
        <f t="shared" ref="P99" si="179">R99+S99</f>
        <v>63772.950000000012</v>
      </c>
      <c r="Q99" s="7">
        <f t="shared" ref="Q99" si="180">P99*100/E99</f>
        <v>28.987704545454548</v>
      </c>
      <c r="R99" s="7">
        <f t="shared" ref="R99" si="181">F99-J99-N99</f>
        <v>0</v>
      </c>
      <c r="S99" s="7">
        <f t="shared" ref="S99" si="182">G99-K99-O99</f>
        <v>63772.950000000012</v>
      </c>
    </row>
    <row r="100" spans="1:20" ht="28.5" customHeight="1" x14ac:dyDescent="0.5">
      <c r="A100" s="15">
        <v>89</v>
      </c>
      <c r="B100" s="53" t="str">
        <f>[11]รายการสรุป!$E$9</f>
        <v>ซ่อมแซมถนนเข้าหัวงานฝายสมุน(ขนาดกลาง) โครงการชลประทานน่าน จ.น่าน</v>
      </c>
      <c r="C100" s="24" t="str">
        <f>[11]รายการสรุป!$I$9</f>
        <v>0700338006410251</v>
      </c>
      <c r="D100" s="6" t="s">
        <v>72</v>
      </c>
      <c r="E100" s="7">
        <f t="shared" ref="E100" si="183">F100+G100</f>
        <v>15000</v>
      </c>
      <c r="F100" s="7">
        <v>0</v>
      </c>
      <c r="G100" s="8">
        <f>[11]รายการสรุป!$J$9</f>
        <v>15000</v>
      </c>
      <c r="H100" s="7">
        <f t="shared" ref="H100" si="184">J100+K100</f>
        <v>14810</v>
      </c>
      <c r="I100" s="7">
        <f t="shared" ref="I100" si="185">H100*100/E100</f>
        <v>98.733333333333334</v>
      </c>
      <c r="J100" s="7">
        <v>0</v>
      </c>
      <c r="K100" s="7">
        <f>2320+12490</f>
        <v>14810</v>
      </c>
      <c r="L100" s="7">
        <f t="shared" ref="L100" si="186">N100+O100</f>
        <v>0</v>
      </c>
      <c r="M100" s="7">
        <f t="shared" ref="M100" si="187">L100*100/E100</f>
        <v>0</v>
      </c>
      <c r="N100" s="7">
        <v>0</v>
      </c>
      <c r="O100" s="7">
        <v>0</v>
      </c>
      <c r="P100" s="7">
        <f t="shared" ref="P100" si="188">R100+S100</f>
        <v>190</v>
      </c>
      <c r="Q100" s="7">
        <f t="shared" ref="Q100" si="189">P100*100/E100</f>
        <v>1.2666666666666666</v>
      </c>
      <c r="R100" s="7">
        <f t="shared" ref="R100" si="190">F100-J100-N100</f>
        <v>0</v>
      </c>
      <c r="S100" s="7">
        <f t="shared" ref="S100" si="191">G100-K100-O100</f>
        <v>190</v>
      </c>
    </row>
    <row r="101" spans="1:20" ht="30" customHeight="1" x14ac:dyDescent="0.5">
      <c r="A101" s="15"/>
      <c r="B101" s="48" t="s">
        <v>40</v>
      </c>
      <c r="C101" s="63"/>
      <c r="D101" s="63"/>
      <c r="E101" s="49">
        <f t="shared" si="156"/>
        <v>1013953</v>
      </c>
      <c r="F101" s="49">
        <f>SUM(F102:F107)</f>
        <v>0</v>
      </c>
      <c r="G101" s="49">
        <f>SUM(G102:G127)</f>
        <v>1013953</v>
      </c>
      <c r="H101" s="49">
        <f>J101+K101</f>
        <v>1006012.8999999999</v>
      </c>
      <c r="I101" s="49">
        <f>H101*100/E101</f>
        <v>99.216916365945934</v>
      </c>
      <c r="J101" s="49">
        <f>SUM(J102:J107)</f>
        <v>0</v>
      </c>
      <c r="K101" s="49">
        <f>SUM(K102:K127)</f>
        <v>1006012.8999999999</v>
      </c>
      <c r="L101" s="49">
        <f>N101+O101</f>
        <v>0</v>
      </c>
      <c r="M101" s="48"/>
      <c r="N101" s="49">
        <f>SUM(N102:N107)</f>
        <v>0</v>
      </c>
      <c r="O101" s="49">
        <f>SUM(O102:O127)</f>
        <v>0</v>
      </c>
      <c r="P101" s="49">
        <f>R101+S101</f>
        <v>7940.1000000000931</v>
      </c>
      <c r="Q101" s="49">
        <f t="shared" si="162"/>
        <v>0.78308363405405312</v>
      </c>
      <c r="R101" s="49">
        <f>SUM(R102:R107)</f>
        <v>0</v>
      </c>
      <c r="S101" s="49">
        <f>G101-K101-O101</f>
        <v>7940.1000000000931</v>
      </c>
      <c r="T101" s="26">
        <f>I101+M101+Q101</f>
        <v>99.999999999999986</v>
      </c>
    </row>
    <row r="102" spans="1:20" ht="30" customHeight="1" x14ac:dyDescent="0.5">
      <c r="A102" s="15">
        <v>90</v>
      </c>
      <c r="B102" s="53" t="str">
        <f>[12]รายการสรุป!$E$5</f>
        <v>ซ่อมแซมคลองส่งน้ำสายฝายทุ่งต้นแฟน อ่างเก็บน้ำห้วยไฟ จ.พะเยา</v>
      </c>
      <c r="C102" s="24" t="str">
        <f>[12]รายการสรุป!$I$5</f>
        <v>0700338006410FO2</v>
      </c>
      <c r="D102" s="6" t="s">
        <v>38</v>
      </c>
      <c r="E102" s="7">
        <f t="shared" si="156"/>
        <v>37700</v>
      </c>
      <c r="F102" s="7">
        <v>0</v>
      </c>
      <c r="G102" s="8">
        <f>[12]รายการสรุป!$J$5</f>
        <v>37700</v>
      </c>
      <c r="H102" s="7">
        <f t="shared" ref="H102" si="192">J102+K102</f>
        <v>37310</v>
      </c>
      <c r="I102" s="7">
        <f t="shared" ref="I102" si="193">H102*100/E102</f>
        <v>98.965517241379317</v>
      </c>
      <c r="J102" s="7">
        <v>0</v>
      </c>
      <c r="K102" s="7">
        <f>37310</f>
        <v>37310</v>
      </c>
      <c r="L102" s="7">
        <f t="shared" ref="L102" si="194">N102+O102</f>
        <v>0</v>
      </c>
      <c r="M102" s="7">
        <f t="shared" ref="M102" si="195">L102*100/E102</f>
        <v>0</v>
      </c>
      <c r="N102" s="7">
        <v>0</v>
      </c>
      <c r="O102" s="7">
        <v>0</v>
      </c>
      <c r="P102" s="7">
        <f t="shared" ref="P102" si="196">R102+S102</f>
        <v>390</v>
      </c>
      <c r="Q102" s="7">
        <f t="shared" si="162"/>
        <v>1.0344827586206897</v>
      </c>
      <c r="R102" s="7">
        <f t="shared" ref="R102" si="197">F102-J102-N102</f>
        <v>0</v>
      </c>
      <c r="S102" s="7">
        <f t="shared" ref="S102" si="198">G102-K102-O102</f>
        <v>390</v>
      </c>
    </row>
    <row r="103" spans="1:20" ht="30" customHeight="1" x14ac:dyDescent="0.5">
      <c r="A103" s="15">
        <v>91</v>
      </c>
      <c r="B103" s="53" t="str">
        <f>[12]รายการสรุป!$E$6</f>
        <v>ซ่อมแซมคลองส่งน้ำรางรินอ่างเก็บน้ำห้วยสา จ.พะเยา</v>
      </c>
      <c r="C103" s="24" t="str">
        <f>[12]รายการสรุป!$I$6</f>
        <v>0700338006410FE3</v>
      </c>
      <c r="D103" s="6" t="s">
        <v>38</v>
      </c>
      <c r="E103" s="7">
        <f t="shared" ref="E103:E129" si="199">F103+G103</f>
        <v>23600</v>
      </c>
      <c r="F103" s="7">
        <v>0</v>
      </c>
      <c r="G103" s="8">
        <f>[12]รายการสรุป!$J$6</f>
        <v>23600</v>
      </c>
      <c r="H103" s="7">
        <f t="shared" ref="H103:H107" si="200">J103+K103</f>
        <v>22985.200000000001</v>
      </c>
      <c r="I103" s="7">
        <f t="shared" ref="I103:I107" si="201">H103*100/E103</f>
        <v>97.39491525423729</v>
      </c>
      <c r="J103" s="7">
        <v>0</v>
      </c>
      <c r="K103" s="7">
        <f>7652.6+7652.6+7680</f>
        <v>22985.200000000001</v>
      </c>
      <c r="L103" s="7">
        <f t="shared" ref="L103:L107" si="202">N103+O103</f>
        <v>0</v>
      </c>
      <c r="M103" s="7">
        <f t="shared" ref="M103:M107" si="203">L103*100/E103</f>
        <v>0</v>
      </c>
      <c r="N103" s="7">
        <v>0</v>
      </c>
      <c r="O103" s="7">
        <v>0</v>
      </c>
      <c r="P103" s="7">
        <f t="shared" ref="P103:P107" si="204">R103+S103</f>
        <v>614.79999999999927</v>
      </c>
      <c r="Q103" s="7">
        <f t="shared" ref="Q103:Q129" si="205">P103*100/E103</f>
        <v>2.6050847457627087</v>
      </c>
      <c r="R103" s="7">
        <f t="shared" ref="R103:R107" si="206">F103-J103-N103</f>
        <v>0</v>
      </c>
      <c r="S103" s="7">
        <f t="shared" ref="S103:S107" si="207">G103-K103-O103</f>
        <v>614.79999999999927</v>
      </c>
    </row>
    <row r="104" spans="1:20" ht="30" customHeight="1" x14ac:dyDescent="0.5">
      <c r="A104" s="15">
        <v>92</v>
      </c>
      <c r="B104" s="53" t="str">
        <f>[12]รายการสรุป!$E$7</f>
        <v>ซ่อมแซมคลองส่งน้ำพร้อมปตร.สายฝายทุ่งตี๊ด หล่ายหน้า อ่างเก็บน้ำห้วยไฟ จ.พะเยา</v>
      </c>
      <c r="C104" s="24" t="str">
        <f>[12]รายการสรุป!$I$7</f>
        <v>0700338006410FO3</v>
      </c>
      <c r="D104" s="6" t="s">
        <v>38</v>
      </c>
      <c r="E104" s="7">
        <f t="shared" si="199"/>
        <v>34800</v>
      </c>
      <c r="F104" s="7">
        <v>0</v>
      </c>
      <c r="G104" s="8">
        <f>[12]รายการสรุป!$J$7</f>
        <v>34800</v>
      </c>
      <c r="H104" s="7">
        <f t="shared" si="200"/>
        <v>34799.199999999997</v>
      </c>
      <c r="I104" s="7">
        <f t="shared" si="201"/>
        <v>99.997701149425268</v>
      </c>
      <c r="J104" s="7">
        <v>0</v>
      </c>
      <c r="K104" s="7">
        <f>3840+13881.8+6005.4+11072</f>
        <v>34799.199999999997</v>
      </c>
      <c r="L104" s="7">
        <f t="shared" si="202"/>
        <v>0</v>
      </c>
      <c r="M104" s="7">
        <f t="shared" si="203"/>
        <v>0</v>
      </c>
      <c r="N104" s="7">
        <v>0</v>
      </c>
      <c r="O104" s="7">
        <v>0</v>
      </c>
      <c r="P104" s="7">
        <f t="shared" si="204"/>
        <v>0.80000000000291038</v>
      </c>
      <c r="Q104" s="7">
        <f t="shared" si="205"/>
        <v>2.2988505747210067E-3</v>
      </c>
      <c r="R104" s="7">
        <f t="shared" si="206"/>
        <v>0</v>
      </c>
      <c r="S104" s="7">
        <f t="shared" si="207"/>
        <v>0.80000000000291038</v>
      </c>
    </row>
    <row r="105" spans="1:20" ht="30" customHeight="1" x14ac:dyDescent="0.5">
      <c r="A105" s="15">
        <v>93</v>
      </c>
      <c r="B105" s="53" t="str">
        <f>[12]รายการสรุป!$E$8</f>
        <v>ซ่อมแซมคลองส่งน้ำสายทุ่งลุ่ม อ่างเก็บน้ำห้วยยัด จ.พะเยา</v>
      </c>
      <c r="C105" s="24" t="str">
        <f>[12]รายการสรุป!$I$8</f>
        <v>0700338006410FO4</v>
      </c>
      <c r="D105" s="6" t="s">
        <v>38</v>
      </c>
      <c r="E105" s="7">
        <f t="shared" si="199"/>
        <v>26600</v>
      </c>
      <c r="F105" s="7">
        <v>0</v>
      </c>
      <c r="G105" s="8">
        <f>[12]รายการสรุป!$J$8</f>
        <v>26600</v>
      </c>
      <c r="H105" s="7">
        <f t="shared" si="200"/>
        <v>26520</v>
      </c>
      <c r="I105" s="7">
        <f t="shared" si="201"/>
        <v>99.699248120300751</v>
      </c>
      <c r="J105" s="7">
        <v>0</v>
      </c>
      <c r="K105" s="7">
        <f>7452+16988+2080</f>
        <v>26520</v>
      </c>
      <c r="L105" s="7">
        <f t="shared" si="202"/>
        <v>0</v>
      </c>
      <c r="M105" s="7">
        <f t="shared" si="203"/>
        <v>0</v>
      </c>
      <c r="N105" s="7">
        <v>0</v>
      </c>
      <c r="O105" s="7">
        <v>0</v>
      </c>
      <c r="P105" s="7">
        <f t="shared" si="204"/>
        <v>80</v>
      </c>
      <c r="Q105" s="7">
        <f t="shared" si="205"/>
        <v>0.3007518796992481</v>
      </c>
      <c r="R105" s="7">
        <f t="shared" si="206"/>
        <v>0</v>
      </c>
      <c r="S105" s="7">
        <f t="shared" si="207"/>
        <v>80</v>
      </c>
    </row>
    <row r="106" spans="1:20" ht="33" customHeight="1" x14ac:dyDescent="0.5">
      <c r="A106" s="15">
        <v>94</v>
      </c>
      <c r="B106" s="53" t="str">
        <f>[12]รายการสรุป!$E$9</f>
        <v>ซ่อมแซมคอนกรีตดาดคลองส่งน้ำฝั่งซ้ายปลายคลอง กม.5+000-กม.6+850 อ่างเก็บน้ำน้ำจุน จ.พะเยา</v>
      </c>
      <c r="C106" s="24" t="str">
        <f>[12]รายการสรุป!$I$9</f>
        <v>0700338006410FE4</v>
      </c>
      <c r="D106" s="6" t="s">
        <v>38</v>
      </c>
      <c r="E106" s="7">
        <f t="shared" si="199"/>
        <v>43600</v>
      </c>
      <c r="F106" s="7">
        <v>0</v>
      </c>
      <c r="G106" s="8">
        <f>[12]รายการสรุป!$J$9</f>
        <v>43600</v>
      </c>
      <c r="H106" s="7">
        <f t="shared" si="200"/>
        <v>43202.200000000004</v>
      </c>
      <c r="I106" s="7">
        <f t="shared" si="201"/>
        <v>99.087614678899087</v>
      </c>
      <c r="J106" s="7">
        <v>0</v>
      </c>
      <c r="K106" s="7">
        <f>11955+9040+13881.8+6005.4+2320</f>
        <v>43202.200000000004</v>
      </c>
      <c r="L106" s="7">
        <f t="shared" si="202"/>
        <v>0</v>
      </c>
      <c r="M106" s="7">
        <f t="shared" si="203"/>
        <v>0</v>
      </c>
      <c r="N106" s="7">
        <v>0</v>
      </c>
      <c r="O106" s="7">
        <v>0</v>
      </c>
      <c r="P106" s="7">
        <f t="shared" si="204"/>
        <v>397.79999999999563</v>
      </c>
      <c r="Q106" s="7">
        <f t="shared" si="205"/>
        <v>0.91238532110090742</v>
      </c>
      <c r="R106" s="7">
        <f t="shared" si="206"/>
        <v>0</v>
      </c>
      <c r="S106" s="7">
        <f t="shared" si="207"/>
        <v>397.79999999999563</v>
      </c>
    </row>
    <row r="107" spans="1:20" ht="30" customHeight="1" x14ac:dyDescent="0.5">
      <c r="A107" s="15">
        <v>95</v>
      </c>
      <c r="B107" s="53" t="str">
        <f>[12]รายการสรุป!$E$10</f>
        <v>ซ่อมแซมคอนกรีตดาดคลองส่งน้ำสาย 1R-LMC อ่างเก็บน้ำห้วยเคียน จ.พะเยา</v>
      </c>
      <c r="C107" s="24" t="str">
        <f>[12]รายการสรุป!$I$10</f>
        <v>0700338006410FO5</v>
      </c>
      <c r="D107" s="6" t="s">
        <v>38</v>
      </c>
      <c r="E107" s="7">
        <f t="shared" si="199"/>
        <v>43000</v>
      </c>
      <c r="F107" s="7">
        <v>0</v>
      </c>
      <c r="G107" s="8">
        <f>[12]รายการสรุป!$J$10</f>
        <v>43000</v>
      </c>
      <c r="H107" s="7">
        <f t="shared" si="200"/>
        <v>42845.399999999994</v>
      </c>
      <c r="I107" s="7">
        <f t="shared" si="201"/>
        <v>99.640465116279046</v>
      </c>
      <c r="J107" s="7">
        <v>0</v>
      </c>
      <c r="K107" s="7">
        <f>6960+1280+13881.8+2201.8+4640+13881.8</f>
        <v>42845.399999999994</v>
      </c>
      <c r="L107" s="7">
        <f t="shared" si="202"/>
        <v>0</v>
      </c>
      <c r="M107" s="7">
        <f t="shared" si="203"/>
        <v>0</v>
      </c>
      <c r="N107" s="7">
        <v>0</v>
      </c>
      <c r="O107" s="7">
        <v>0</v>
      </c>
      <c r="P107" s="7">
        <f t="shared" si="204"/>
        <v>154.60000000000582</v>
      </c>
      <c r="Q107" s="7">
        <f t="shared" si="205"/>
        <v>0.35953488372094378</v>
      </c>
      <c r="R107" s="7">
        <f t="shared" si="206"/>
        <v>0</v>
      </c>
      <c r="S107" s="7">
        <f t="shared" si="207"/>
        <v>154.60000000000582</v>
      </c>
    </row>
    <row r="108" spans="1:20" ht="30" customHeight="1" x14ac:dyDescent="0.5">
      <c r="A108" s="15">
        <v>96</v>
      </c>
      <c r="B108" s="53" t="str">
        <f>[13]รายการสรุป!$E$5</f>
        <v>ซ่อมแซมอุปกรณ์บังคับน้ำอ่างเก็บน้ำแม่ปืม โครงการชลประทานพะเยา ต.บ้านเหล่า อ.แม่ใจ จ.พะเยา</v>
      </c>
      <c r="C108" s="24" t="str">
        <f>[13]รายการสรุป!$I$5</f>
        <v>0700338006410518</v>
      </c>
      <c r="D108" s="6" t="s">
        <v>55</v>
      </c>
      <c r="E108" s="7">
        <f t="shared" ref="E108:E115" si="208">F108+G108</f>
        <v>38400</v>
      </c>
      <c r="F108" s="7">
        <v>0</v>
      </c>
      <c r="G108" s="8">
        <f>[13]รายการสรุป!$J$5</f>
        <v>38400</v>
      </c>
      <c r="H108" s="7">
        <f t="shared" ref="H108:H115" si="209">J108+K108</f>
        <v>38391</v>
      </c>
      <c r="I108" s="7">
        <f t="shared" ref="I108:I115" si="210">H108*100/E108</f>
        <v>99.9765625</v>
      </c>
      <c r="J108" s="7">
        <v>0</v>
      </c>
      <c r="K108" s="7">
        <f>38391</f>
        <v>38391</v>
      </c>
      <c r="L108" s="7">
        <f t="shared" ref="L108:L115" si="211">N108+O108</f>
        <v>0</v>
      </c>
      <c r="M108" s="7">
        <f t="shared" ref="M108:M115" si="212">L108*100/E108</f>
        <v>0</v>
      </c>
      <c r="N108" s="7">
        <v>0</v>
      </c>
      <c r="O108" s="7">
        <v>0</v>
      </c>
      <c r="P108" s="7">
        <f t="shared" ref="P108:P115" si="213">R108+S108</f>
        <v>9</v>
      </c>
      <c r="Q108" s="7">
        <f t="shared" ref="Q108:Q115" si="214">P108*100/E108</f>
        <v>2.34375E-2</v>
      </c>
      <c r="R108" s="7">
        <f t="shared" ref="R108:R115" si="215">F108-J108-N108</f>
        <v>0</v>
      </c>
      <c r="S108" s="7">
        <f t="shared" ref="S108:S115" si="216">G108-K108-O108</f>
        <v>9</v>
      </c>
    </row>
    <row r="109" spans="1:20" ht="30" customHeight="1" x14ac:dyDescent="0.5">
      <c r="A109" s="15">
        <v>97</v>
      </c>
      <c r="B109" s="53" t="str">
        <f>[13]รายการสรุป!$E$6</f>
        <v>ซ่อมแซมสายเหมืองโค้ง อ่างเก็บน้ำห้วยตุ่น โครงการชลประทานพะเยา ต.บ้านตุ่น อ.แม่ใจ จ.พะเยา</v>
      </c>
      <c r="C109" s="24" t="str">
        <f>[13]รายการสรุป!$I$6</f>
        <v>0700338006410519</v>
      </c>
      <c r="D109" s="6" t="s">
        <v>55</v>
      </c>
      <c r="E109" s="7">
        <f t="shared" si="208"/>
        <v>41800</v>
      </c>
      <c r="F109" s="7">
        <v>0</v>
      </c>
      <c r="G109" s="8">
        <f>[13]รายการสรุป!$J$6</f>
        <v>41800</v>
      </c>
      <c r="H109" s="7">
        <f t="shared" si="209"/>
        <v>41799</v>
      </c>
      <c r="I109" s="7">
        <f t="shared" si="210"/>
        <v>99.997607655502392</v>
      </c>
      <c r="J109" s="7">
        <v>0</v>
      </c>
      <c r="K109" s="7">
        <f>41799</f>
        <v>41799</v>
      </c>
      <c r="L109" s="7">
        <f t="shared" si="211"/>
        <v>0</v>
      </c>
      <c r="M109" s="7">
        <f t="shared" si="212"/>
        <v>0</v>
      </c>
      <c r="N109" s="7">
        <v>0</v>
      </c>
      <c r="O109" s="7">
        <v>0</v>
      </c>
      <c r="P109" s="7">
        <f t="shared" si="213"/>
        <v>1</v>
      </c>
      <c r="Q109" s="7">
        <f t="shared" si="214"/>
        <v>2.3923444976076554E-3</v>
      </c>
      <c r="R109" s="7">
        <f t="shared" si="215"/>
        <v>0</v>
      </c>
      <c r="S109" s="7">
        <f t="shared" si="216"/>
        <v>1</v>
      </c>
      <c r="T109" s="1" t="s">
        <v>73</v>
      </c>
    </row>
    <row r="110" spans="1:20" ht="30" customHeight="1" x14ac:dyDescent="0.5">
      <c r="A110" s="15">
        <v>98</v>
      </c>
      <c r="B110" s="53" t="str">
        <f>[13]รายการสรุป!$E$7</f>
        <v>ซ่อมแซมหินคลุกอ่างเก็บน้ำห้วยบง โครงการชลประทานพะเยา จ.พะเยา</v>
      </c>
      <c r="C110" s="24" t="str">
        <f>[13]รายการสรุป!$I$7</f>
        <v>0700338006410520</v>
      </c>
      <c r="D110" s="6" t="s">
        <v>55</v>
      </c>
      <c r="E110" s="7">
        <f t="shared" si="208"/>
        <v>43600</v>
      </c>
      <c r="F110" s="7">
        <v>0</v>
      </c>
      <c r="G110" s="8">
        <f>[13]รายการสรุป!$J$7</f>
        <v>43600</v>
      </c>
      <c r="H110" s="7">
        <f t="shared" si="209"/>
        <v>43512</v>
      </c>
      <c r="I110" s="7">
        <f t="shared" si="210"/>
        <v>99.798165137614674</v>
      </c>
      <c r="J110" s="7">
        <v>0</v>
      </c>
      <c r="K110" s="7">
        <f>38872+3600+1040</f>
        <v>43512</v>
      </c>
      <c r="L110" s="7">
        <f t="shared" si="211"/>
        <v>0</v>
      </c>
      <c r="M110" s="7">
        <f t="shared" si="212"/>
        <v>0</v>
      </c>
      <c r="N110" s="7">
        <v>0</v>
      </c>
      <c r="O110" s="7">
        <v>0</v>
      </c>
      <c r="P110" s="7">
        <f t="shared" si="213"/>
        <v>88</v>
      </c>
      <c r="Q110" s="7">
        <f t="shared" si="214"/>
        <v>0.20183486238532111</v>
      </c>
      <c r="R110" s="7">
        <f t="shared" si="215"/>
        <v>0</v>
      </c>
      <c r="S110" s="7">
        <f t="shared" si="216"/>
        <v>88</v>
      </c>
    </row>
    <row r="111" spans="1:20" ht="50.25" customHeight="1" x14ac:dyDescent="0.5">
      <c r="A111" s="15">
        <v>99</v>
      </c>
      <c r="B111" s="53" t="str">
        <f>[13]รายการสรุป!$E$8</f>
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</c>
      <c r="C111" s="24" t="str">
        <f>[13]รายการสรุป!$I$8</f>
        <v>0700338006410255</v>
      </c>
      <c r="D111" s="6" t="s">
        <v>55</v>
      </c>
      <c r="E111" s="7">
        <f t="shared" si="208"/>
        <v>43400</v>
      </c>
      <c r="F111" s="7">
        <v>0</v>
      </c>
      <c r="G111" s="8">
        <f>[13]รายการสรุป!$J$8</f>
        <v>43400</v>
      </c>
      <c r="H111" s="7">
        <f t="shared" si="209"/>
        <v>42465</v>
      </c>
      <c r="I111" s="7">
        <f t="shared" si="210"/>
        <v>97.845622119815673</v>
      </c>
      <c r="J111" s="7">
        <v>0</v>
      </c>
      <c r="K111" s="7">
        <f>42465</f>
        <v>42465</v>
      </c>
      <c r="L111" s="7">
        <f t="shared" si="211"/>
        <v>0</v>
      </c>
      <c r="M111" s="7">
        <f t="shared" si="212"/>
        <v>0</v>
      </c>
      <c r="N111" s="7">
        <v>0</v>
      </c>
      <c r="O111" s="7">
        <v>0</v>
      </c>
      <c r="P111" s="7">
        <f t="shared" si="213"/>
        <v>935</v>
      </c>
      <c r="Q111" s="7">
        <f t="shared" si="214"/>
        <v>2.1543778801843319</v>
      </c>
      <c r="R111" s="7">
        <f t="shared" si="215"/>
        <v>0</v>
      </c>
      <c r="S111" s="7">
        <f t="shared" si="216"/>
        <v>935</v>
      </c>
    </row>
    <row r="112" spans="1:20" ht="45.75" customHeight="1" x14ac:dyDescent="0.5">
      <c r="A112" s="15">
        <v>100</v>
      </c>
      <c r="B112" s="53" t="str">
        <f>[13]รายการสรุป!$E$9</f>
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</c>
      <c r="C112" s="24" t="str">
        <f>[13]รายการสรุป!$I$9</f>
        <v>0700338006410256</v>
      </c>
      <c r="D112" s="6" t="s">
        <v>55</v>
      </c>
      <c r="E112" s="7">
        <f t="shared" si="208"/>
        <v>26600</v>
      </c>
      <c r="F112" s="7">
        <v>0</v>
      </c>
      <c r="G112" s="8">
        <f>[13]รายการสรุป!$J$9</f>
        <v>26600</v>
      </c>
      <c r="H112" s="7">
        <f t="shared" si="209"/>
        <v>26200.6</v>
      </c>
      <c r="I112" s="7">
        <f t="shared" si="210"/>
        <v>98.498496240601497</v>
      </c>
      <c r="J112" s="7">
        <v>0</v>
      </c>
      <c r="K112" s="7">
        <f>6940.9+6947+4502.7+5122+2688</f>
        <v>26200.6</v>
      </c>
      <c r="L112" s="7">
        <f t="shared" si="211"/>
        <v>0</v>
      </c>
      <c r="M112" s="7">
        <f t="shared" si="212"/>
        <v>0</v>
      </c>
      <c r="N112" s="7">
        <v>0</v>
      </c>
      <c r="O112" s="7">
        <v>0</v>
      </c>
      <c r="P112" s="7">
        <f t="shared" si="213"/>
        <v>399.40000000000146</v>
      </c>
      <c r="Q112" s="7">
        <f t="shared" si="214"/>
        <v>1.5015037593985017</v>
      </c>
      <c r="R112" s="7">
        <f t="shared" si="215"/>
        <v>0</v>
      </c>
      <c r="S112" s="7">
        <f t="shared" si="216"/>
        <v>399.40000000000146</v>
      </c>
    </row>
    <row r="113" spans="1:20" ht="45" customHeight="1" x14ac:dyDescent="0.5">
      <c r="A113" s="15">
        <v>101</v>
      </c>
      <c r="B113" s="53" t="str">
        <f>[13]รายการสรุป!$E$10</f>
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</c>
      <c r="C113" s="24" t="str">
        <f>[13]รายการสรุป!$I$10</f>
        <v>0700338006410257</v>
      </c>
      <c r="D113" s="6" t="s">
        <v>55</v>
      </c>
      <c r="E113" s="7">
        <f t="shared" si="208"/>
        <v>36600</v>
      </c>
      <c r="F113" s="7">
        <v>0</v>
      </c>
      <c r="G113" s="8">
        <f>[13]รายการสรุป!$J$10</f>
        <v>36600</v>
      </c>
      <c r="H113" s="7">
        <f t="shared" si="209"/>
        <v>36279.599999999999</v>
      </c>
      <c r="I113" s="7">
        <f t="shared" si="210"/>
        <v>99.124590163934428</v>
      </c>
      <c r="J113" s="7">
        <v>0</v>
      </c>
      <c r="K113" s="7">
        <f>5486+6940.9+4502.7+14090+2700+2560</f>
        <v>36279.599999999999</v>
      </c>
      <c r="L113" s="7">
        <f t="shared" si="211"/>
        <v>0</v>
      </c>
      <c r="M113" s="7">
        <f t="shared" si="212"/>
        <v>0</v>
      </c>
      <c r="N113" s="7">
        <v>0</v>
      </c>
      <c r="O113" s="7">
        <v>0</v>
      </c>
      <c r="P113" s="7">
        <f t="shared" si="213"/>
        <v>320.40000000000146</v>
      </c>
      <c r="Q113" s="7">
        <f t="shared" si="214"/>
        <v>0.87540983606557776</v>
      </c>
      <c r="R113" s="7">
        <f t="shared" si="215"/>
        <v>0</v>
      </c>
      <c r="S113" s="7">
        <f t="shared" si="216"/>
        <v>320.40000000000146</v>
      </c>
    </row>
    <row r="114" spans="1:20" ht="47.25" customHeight="1" x14ac:dyDescent="0.5">
      <c r="A114" s="15">
        <v>102</v>
      </c>
      <c r="B114" s="53" t="str">
        <f>[13]รายการสรุป!$E$11</f>
        <v>ซ่อมแซมคลองส่งน้ำสาย 1R-RMC อ่างเก็บน้ำแม่ปืม โครงการชลประทานพะเยา ต.บ้านเหล่า อ.แม่ใจ จ.พะเยา</v>
      </c>
      <c r="C114" s="24" t="str">
        <f>[13]รายการสรุป!$I$11</f>
        <v>0700338006410258</v>
      </c>
      <c r="D114" s="6" t="s">
        <v>55</v>
      </c>
      <c r="E114" s="7">
        <f t="shared" si="208"/>
        <v>41800</v>
      </c>
      <c r="F114" s="7">
        <v>0</v>
      </c>
      <c r="G114" s="8">
        <f>[13]รายการสรุป!$J$11</f>
        <v>41800</v>
      </c>
      <c r="H114" s="7">
        <f t="shared" si="209"/>
        <v>41781.800000000003</v>
      </c>
      <c r="I114" s="7">
        <f t="shared" si="210"/>
        <v>99.956459330143545</v>
      </c>
      <c r="J114" s="7">
        <v>0</v>
      </c>
      <c r="K114" s="7">
        <f>23900+13881.8+4000</f>
        <v>41781.800000000003</v>
      </c>
      <c r="L114" s="7">
        <f t="shared" si="211"/>
        <v>0</v>
      </c>
      <c r="M114" s="7">
        <f t="shared" si="212"/>
        <v>0</v>
      </c>
      <c r="N114" s="7">
        <v>0</v>
      </c>
      <c r="O114" s="7">
        <v>0</v>
      </c>
      <c r="P114" s="7">
        <f t="shared" si="213"/>
        <v>18.19999999999709</v>
      </c>
      <c r="Q114" s="7">
        <f t="shared" si="214"/>
        <v>4.3540669856452364E-2</v>
      </c>
      <c r="R114" s="7">
        <f t="shared" si="215"/>
        <v>0</v>
      </c>
      <c r="S114" s="7">
        <f t="shared" si="216"/>
        <v>18.19999999999709</v>
      </c>
    </row>
    <row r="115" spans="1:20" ht="53.25" customHeight="1" x14ac:dyDescent="0.5">
      <c r="A115" s="15">
        <v>103</v>
      </c>
      <c r="B115" s="53" t="str">
        <f>[13]รายการสรุป!$E$12</f>
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</c>
      <c r="C115" s="24" t="str">
        <f>[13]รายการสรุป!$I$12</f>
        <v>0700338006410259</v>
      </c>
      <c r="D115" s="6" t="s">
        <v>55</v>
      </c>
      <c r="E115" s="7">
        <f t="shared" si="208"/>
        <v>43400</v>
      </c>
      <c r="F115" s="7">
        <v>0</v>
      </c>
      <c r="G115" s="8">
        <f>[13]รายการสรุป!$J$12</f>
        <v>43400</v>
      </c>
      <c r="H115" s="7">
        <f t="shared" si="209"/>
        <v>43386.2</v>
      </c>
      <c r="I115" s="7">
        <f t="shared" si="210"/>
        <v>99.968202764976965</v>
      </c>
      <c r="J115" s="7">
        <v>0</v>
      </c>
      <c r="K115" s="7">
        <f>20822.7+22563.5</f>
        <v>43386.2</v>
      </c>
      <c r="L115" s="7">
        <f t="shared" si="211"/>
        <v>0</v>
      </c>
      <c r="M115" s="7">
        <f t="shared" si="212"/>
        <v>0</v>
      </c>
      <c r="N115" s="7">
        <v>0</v>
      </c>
      <c r="O115" s="7">
        <v>0</v>
      </c>
      <c r="P115" s="7">
        <f t="shared" si="213"/>
        <v>13.80000000000291</v>
      </c>
      <c r="Q115" s="7">
        <f t="shared" si="214"/>
        <v>3.1797235023048182E-2</v>
      </c>
      <c r="R115" s="7">
        <f t="shared" si="215"/>
        <v>0</v>
      </c>
      <c r="S115" s="7">
        <f t="shared" si="216"/>
        <v>13.80000000000291</v>
      </c>
    </row>
    <row r="116" spans="1:20" ht="45" customHeight="1" x14ac:dyDescent="0.5">
      <c r="A116" s="15">
        <v>104</v>
      </c>
      <c r="B116" s="53" t="str">
        <f>[13]รายการสรุป!$E$13</f>
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</c>
      <c r="C116" s="24" t="str">
        <f>[13]รายการสรุป!$I$13</f>
        <v>0700338006410522</v>
      </c>
      <c r="D116" s="6" t="s">
        <v>55</v>
      </c>
      <c r="E116" s="7">
        <f t="shared" ref="E116:E124" si="217">F116+G116</f>
        <v>13260</v>
      </c>
      <c r="F116" s="7">
        <v>0</v>
      </c>
      <c r="G116" s="8">
        <f>[13]รายการสรุป!$J$13</f>
        <v>13260</v>
      </c>
      <c r="H116" s="7">
        <f t="shared" ref="H116:H124" si="218">J116+K116</f>
        <v>13200</v>
      </c>
      <c r="I116" s="7">
        <f t="shared" ref="I116:I124" si="219">H116*100/E116</f>
        <v>99.547511312217196</v>
      </c>
      <c r="J116" s="7">
        <v>0</v>
      </c>
      <c r="K116" s="7">
        <f>8320+4880</f>
        <v>13200</v>
      </c>
      <c r="L116" s="7">
        <f t="shared" ref="L116:L124" si="220">N116+O116</f>
        <v>0</v>
      </c>
      <c r="M116" s="7">
        <f t="shared" ref="M116:M124" si="221">L116*100/E116</f>
        <v>0</v>
      </c>
      <c r="N116" s="7">
        <v>0</v>
      </c>
      <c r="O116" s="7">
        <v>0</v>
      </c>
      <c r="P116" s="7">
        <f t="shared" ref="P116:P124" si="222">R116+S116</f>
        <v>60</v>
      </c>
      <c r="Q116" s="7">
        <f t="shared" ref="Q116:Q124" si="223">P116*100/E116</f>
        <v>0.45248868778280543</v>
      </c>
      <c r="R116" s="7">
        <f t="shared" ref="R116:R124" si="224">F116-J116-N116</f>
        <v>0</v>
      </c>
      <c r="S116" s="7">
        <f t="shared" ref="S116:S124" si="225">G116-K116-O116</f>
        <v>60</v>
      </c>
    </row>
    <row r="117" spans="1:20" ht="45.75" customHeight="1" x14ac:dyDescent="0.5">
      <c r="A117" s="15">
        <v>105</v>
      </c>
      <c r="B117" s="53" t="str">
        <f>[13]รายการสรุป!$E$14</f>
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</c>
      <c r="C117" s="24" t="str">
        <f>[13]รายการสรุป!$I$14</f>
        <v>0700338006410260</v>
      </c>
      <c r="D117" s="6" t="s">
        <v>55</v>
      </c>
      <c r="E117" s="7">
        <f t="shared" si="217"/>
        <v>31000</v>
      </c>
      <c r="F117" s="7">
        <v>0</v>
      </c>
      <c r="G117" s="8">
        <f>[13]รายการสรุป!$J$14</f>
        <v>31000</v>
      </c>
      <c r="H117" s="7">
        <f t="shared" si="218"/>
        <v>30984.199999999997</v>
      </c>
      <c r="I117" s="7">
        <f t="shared" si="219"/>
        <v>99.949032258064506</v>
      </c>
      <c r="J117" s="7">
        <v>0</v>
      </c>
      <c r="K117" s="7">
        <f>4937+13881.8+4640+6005.4+1280+240</f>
        <v>30984.199999999997</v>
      </c>
      <c r="L117" s="7">
        <f t="shared" si="220"/>
        <v>0</v>
      </c>
      <c r="M117" s="7">
        <f t="shared" si="221"/>
        <v>0</v>
      </c>
      <c r="N117" s="7">
        <v>0</v>
      </c>
      <c r="O117" s="7">
        <v>0</v>
      </c>
      <c r="P117" s="7">
        <f t="shared" si="222"/>
        <v>15.80000000000291</v>
      </c>
      <c r="Q117" s="7">
        <f t="shared" si="223"/>
        <v>5.0967741935493256E-2</v>
      </c>
      <c r="R117" s="7">
        <f t="shared" si="224"/>
        <v>0</v>
      </c>
      <c r="S117" s="7">
        <f t="shared" si="225"/>
        <v>15.80000000000291</v>
      </c>
    </row>
    <row r="118" spans="1:20" ht="45" customHeight="1" x14ac:dyDescent="0.5">
      <c r="A118" s="15">
        <v>106</v>
      </c>
      <c r="B118" s="53" t="str">
        <f>[13]รายการสรุป!$E$15</f>
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</c>
      <c r="C118" s="24" t="str">
        <f>[13]รายการสรุป!$I$15</f>
        <v>0700338006410261</v>
      </c>
      <c r="D118" s="6" t="s">
        <v>55</v>
      </c>
      <c r="E118" s="7">
        <f t="shared" si="217"/>
        <v>43600</v>
      </c>
      <c r="F118" s="7">
        <v>0</v>
      </c>
      <c r="G118" s="8">
        <f>[13]รายการสรุป!$J$15</f>
        <v>43600</v>
      </c>
      <c r="H118" s="7">
        <f t="shared" si="218"/>
        <v>43570</v>
      </c>
      <c r="I118" s="7">
        <f t="shared" si="219"/>
        <v>99.931192660550465</v>
      </c>
      <c r="J118" s="7">
        <v>0</v>
      </c>
      <c r="K118" s="7">
        <f>43570</f>
        <v>43570</v>
      </c>
      <c r="L118" s="7">
        <f t="shared" si="220"/>
        <v>0</v>
      </c>
      <c r="M118" s="7">
        <f t="shared" si="221"/>
        <v>0</v>
      </c>
      <c r="N118" s="7">
        <v>0</v>
      </c>
      <c r="O118" s="7">
        <v>0</v>
      </c>
      <c r="P118" s="7">
        <f t="shared" si="222"/>
        <v>30</v>
      </c>
      <c r="Q118" s="7">
        <f t="shared" si="223"/>
        <v>6.8807339449541288E-2</v>
      </c>
      <c r="R118" s="7">
        <f t="shared" si="224"/>
        <v>0</v>
      </c>
      <c r="S118" s="7">
        <f t="shared" si="225"/>
        <v>30</v>
      </c>
    </row>
    <row r="119" spans="1:20" ht="29.25" customHeight="1" x14ac:dyDescent="0.5">
      <c r="A119" s="15">
        <v>107</v>
      </c>
      <c r="B119" s="53" t="str">
        <f>[13]รายการสรุป!$E$16</f>
        <v>ซ่อมแซมท้ายทางระบายน้ำล้น อ่างเก็บน้ำหัวนา โครงการชลประทานพะเยา ต.ทุ่งกล้วย อ.ภูซาง จ.พะเยา</v>
      </c>
      <c r="C119" s="24" t="str">
        <f>[13]รายการสรุป!$I$16</f>
        <v>0700338006410262</v>
      </c>
      <c r="D119" s="6" t="s">
        <v>55</v>
      </c>
      <c r="E119" s="7">
        <f t="shared" si="217"/>
        <v>26600</v>
      </c>
      <c r="F119" s="7">
        <v>0</v>
      </c>
      <c r="G119" s="8">
        <f>[13]รายการสรุป!$J$16</f>
        <v>26600</v>
      </c>
      <c r="H119" s="7">
        <f t="shared" si="218"/>
        <v>26361.3</v>
      </c>
      <c r="I119" s="7">
        <f t="shared" si="219"/>
        <v>99.102631578947367</v>
      </c>
      <c r="J119" s="7">
        <v>0</v>
      </c>
      <c r="K119" s="7">
        <f>6940.9+6565+7205.4+4930+720</f>
        <v>26361.3</v>
      </c>
      <c r="L119" s="7">
        <f t="shared" si="220"/>
        <v>0</v>
      </c>
      <c r="M119" s="7">
        <f t="shared" si="221"/>
        <v>0</v>
      </c>
      <c r="N119" s="7">
        <v>0</v>
      </c>
      <c r="O119" s="7">
        <v>0</v>
      </c>
      <c r="P119" s="7">
        <f t="shared" si="222"/>
        <v>238.70000000000073</v>
      </c>
      <c r="Q119" s="7">
        <f t="shared" si="223"/>
        <v>0.89736842105263437</v>
      </c>
      <c r="R119" s="7">
        <f t="shared" si="224"/>
        <v>0</v>
      </c>
      <c r="S119" s="7">
        <f t="shared" si="225"/>
        <v>238.70000000000073</v>
      </c>
    </row>
    <row r="120" spans="1:20" ht="44.25" customHeight="1" x14ac:dyDescent="0.5">
      <c r="A120" s="15">
        <v>108</v>
      </c>
      <c r="B120" s="53" t="str">
        <f>[13]รายการสรุป!$E$17</f>
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</c>
      <c r="C120" s="24" t="str">
        <f>[13]รายการสรุป!$I$17</f>
        <v>0700338006410263</v>
      </c>
      <c r="D120" s="6" t="s">
        <v>55</v>
      </c>
      <c r="E120" s="7">
        <f t="shared" si="217"/>
        <v>21900</v>
      </c>
      <c r="F120" s="7">
        <v>0</v>
      </c>
      <c r="G120" s="8">
        <f>[13]รายการสรุป!$J$17</f>
        <v>21900</v>
      </c>
      <c r="H120" s="7">
        <f t="shared" si="218"/>
        <v>21894.6</v>
      </c>
      <c r="I120" s="7">
        <f t="shared" si="219"/>
        <v>99.975342465753428</v>
      </c>
      <c r="J120" s="7">
        <v>0</v>
      </c>
      <c r="K120" s="7">
        <f>6940.9+2701+4502.7+7750</f>
        <v>21894.6</v>
      </c>
      <c r="L120" s="7">
        <f t="shared" si="220"/>
        <v>0</v>
      </c>
      <c r="M120" s="7">
        <f t="shared" si="221"/>
        <v>0</v>
      </c>
      <c r="N120" s="7">
        <v>0</v>
      </c>
      <c r="O120" s="7">
        <v>0</v>
      </c>
      <c r="P120" s="7">
        <f t="shared" si="222"/>
        <v>5.4000000000014552</v>
      </c>
      <c r="Q120" s="7">
        <f t="shared" si="223"/>
        <v>2.4657534246581986E-2</v>
      </c>
      <c r="R120" s="7">
        <f t="shared" si="224"/>
        <v>0</v>
      </c>
      <c r="S120" s="7">
        <f t="shared" si="225"/>
        <v>5.4000000000014552</v>
      </c>
    </row>
    <row r="121" spans="1:20" ht="36" customHeight="1" x14ac:dyDescent="0.5">
      <c r="A121" s="15">
        <v>109</v>
      </c>
      <c r="B121" s="53" t="str">
        <f>[13]รายการสรุป!$E$18</f>
        <v>ซ่อมแซมดาดคอนกรีตคลองส่งน้ำสาย RMC ฝายวังจัน โครงการชลประทานพะเยา ต.ขุนควร อ.ปง จ.พะเยา</v>
      </c>
      <c r="C121" s="24" t="str">
        <f>[13]รายการสรุป!$I$18</f>
        <v>0700338006410264</v>
      </c>
      <c r="D121" s="6" t="s">
        <v>55</v>
      </c>
      <c r="E121" s="7">
        <f t="shared" si="217"/>
        <v>43600</v>
      </c>
      <c r="F121" s="7">
        <v>0</v>
      </c>
      <c r="G121" s="8">
        <f>[13]รายการสรุป!$J$18</f>
        <v>43600</v>
      </c>
      <c r="H121" s="7">
        <f t="shared" si="218"/>
        <v>43552.6</v>
      </c>
      <c r="I121" s="7">
        <f t="shared" si="219"/>
        <v>99.891284403669729</v>
      </c>
      <c r="J121" s="7">
        <v>0</v>
      </c>
      <c r="K121" s="7">
        <f>6940.9+7205.4+6960+6940.9+7205.4+8300</f>
        <v>43552.6</v>
      </c>
      <c r="L121" s="7">
        <f t="shared" si="220"/>
        <v>0</v>
      </c>
      <c r="M121" s="7">
        <f t="shared" si="221"/>
        <v>0</v>
      </c>
      <c r="N121" s="7">
        <v>0</v>
      </c>
      <c r="O121" s="7">
        <v>0</v>
      </c>
      <c r="P121" s="7">
        <f t="shared" si="222"/>
        <v>47.400000000001455</v>
      </c>
      <c r="Q121" s="7">
        <f t="shared" si="223"/>
        <v>0.10871559633027857</v>
      </c>
      <c r="R121" s="7">
        <f t="shared" si="224"/>
        <v>0</v>
      </c>
      <c r="S121" s="7">
        <f t="shared" si="225"/>
        <v>47.400000000001455</v>
      </c>
    </row>
    <row r="122" spans="1:20" ht="39" customHeight="1" x14ac:dyDescent="0.5">
      <c r="A122" s="15">
        <v>110</v>
      </c>
      <c r="B122" s="53" t="str">
        <f>[13]รายการสรุป!$E$19</f>
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</c>
      <c r="C122" s="24" t="str">
        <f>[13]รายการสรุป!$I$19</f>
        <v>0700338006410265</v>
      </c>
      <c r="D122" s="6" t="s">
        <v>55</v>
      </c>
      <c r="E122" s="7">
        <f t="shared" si="217"/>
        <v>8800</v>
      </c>
      <c r="F122" s="7">
        <v>0</v>
      </c>
      <c r="G122" s="8">
        <f>[13]รายการสรุป!$J$19</f>
        <v>8800</v>
      </c>
      <c r="H122" s="7">
        <f t="shared" si="218"/>
        <v>8765</v>
      </c>
      <c r="I122" s="7">
        <f t="shared" si="219"/>
        <v>99.602272727272734</v>
      </c>
      <c r="J122" s="7">
        <v>0</v>
      </c>
      <c r="K122" s="7">
        <f>4125+4640</f>
        <v>8765</v>
      </c>
      <c r="L122" s="7">
        <f t="shared" si="220"/>
        <v>0</v>
      </c>
      <c r="M122" s="7">
        <f t="shared" si="221"/>
        <v>0</v>
      </c>
      <c r="N122" s="7">
        <v>0</v>
      </c>
      <c r="O122" s="7">
        <v>0</v>
      </c>
      <c r="P122" s="7">
        <f t="shared" si="222"/>
        <v>35</v>
      </c>
      <c r="Q122" s="7">
        <f t="shared" si="223"/>
        <v>0.39772727272727271</v>
      </c>
      <c r="R122" s="7">
        <f t="shared" si="224"/>
        <v>0</v>
      </c>
      <c r="S122" s="7">
        <f t="shared" si="225"/>
        <v>35</v>
      </c>
    </row>
    <row r="123" spans="1:20" ht="44.25" customHeight="1" x14ac:dyDescent="0.5">
      <c r="A123" s="15">
        <v>111</v>
      </c>
      <c r="B123" s="53" t="str">
        <f>[13]รายการสรุป!$E$20</f>
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</c>
      <c r="C123" s="24" t="str">
        <f>[13]รายการสรุป!$I$20</f>
        <v>0700338006410612</v>
      </c>
      <c r="D123" s="6" t="s">
        <v>55</v>
      </c>
      <c r="E123" s="7">
        <f t="shared" si="217"/>
        <v>79800</v>
      </c>
      <c r="F123" s="7">
        <v>0</v>
      </c>
      <c r="G123" s="8">
        <f>[13]รายการสรุป!$J$20</f>
        <v>79800</v>
      </c>
      <c r="H123" s="7">
        <f t="shared" si="218"/>
        <v>79767</v>
      </c>
      <c r="I123" s="7">
        <f t="shared" si="219"/>
        <v>99.958646616541358</v>
      </c>
      <c r="J123" s="7">
        <v>0</v>
      </c>
      <c r="K123" s="7">
        <f>79767</f>
        <v>79767</v>
      </c>
      <c r="L123" s="7">
        <f t="shared" si="220"/>
        <v>0</v>
      </c>
      <c r="M123" s="7">
        <f t="shared" si="221"/>
        <v>0</v>
      </c>
      <c r="N123" s="7">
        <v>0</v>
      </c>
      <c r="O123" s="7">
        <v>0</v>
      </c>
      <c r="P123" s="7">
        <f t="shared" si="222"/>
        <v>33</v>
      </c>
      <c r="Q123" s="7">
        <f t="shared" si="223"/>
        <v>4.1353383458646614E-2</v>
      </c>
      <c r="R123" s="7">
        <f t="shared" si="224"/>
        <v>0</v>
      </c>
      <c r="S123" s="7">
        <f t="shared" si="225"/>
        <v>33</v>
      </c>
    </row>
    <row r="124" spans="1:20" ht="50.25" customHeight="1" x14ac:dyDescent="0.5">
      <c r="A124" s="15">
        <v>112</v>
      </c>
      <c r="B124" s="53" t="str">
        <f>[13]รายการสรุป!$E$21</f>
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</c>
      <c r="C124" s="24" t="str">
        <f>[13]รายการสรุป!$I$21</f>
        <v>0700338006410292</v>
      </c>
      <c r="D124" s="6" t="s">
        <v>55</v>
      </c>
      <c r="E124" s="7">
        <f t="shared" si="217"/>
        <v>39900</v>
      </c>
      <c r="F124" s="7">
        <v>0</v>
      </c>
      <c r="G124" s="8">
        <f>[13]รายการสรุป!$J$21</f>
        <v>39900</v>
      </c>
      <c r="H124" s="7">
        <f t="shared" si="218"/>
        <v>38994</v>
      </c>
      <c r="I124" s="7">
        <f t="shared" si="219"/>
        <v>97.729323308270679</v>
      </c>
      <c r="J124" s="7">
        <v>0</v>
      </c>
      <c r="K124" s="7">
        <f>3572+8622+26800</f>
        <v>38994</v>
      </c>
      <c r="L124" s="7">
        <f t="shared" si="220"/>
        <v>0</v>
      </c>
      <c r="M124" s="7">
        <f t="shared" si="221"/>
        <v>0</v>
      </c>
      <c r="N124" s="7">
        <v>0</v>
      </c>
      <c r="O124" s="7">
        <v>0</v>
      </c>
      <c r="P124" s="7">
        <f t="shared" si="222"/>
        <v>906</v>
      </c>
      <c r="Q124" s="7">
        <f t="shared" si="223"/>
        <v>2.2706766917293235</v>
      </c>
      <c r="R124" s="7">
        <f t="shared" si="224"/>
        <v>0</v>
      </c>
      <c r="S124" s="7">
        <f t="shared" si="225"/>
        <v>906</v>
      </c>
    </row>
    <row r="125" spans="1:20" ht="33.75" customHeight="1" x14ac:dyDescent="0.5">
      <c r="A125" s="15">
        <v>113</v>
      </c>
      <c r="B125" s="53" t="str">
        <f>[13]รายการสรุป!$E$22</f>
        <v>ซ่อมแซมตลิ่งท้ายฝายแก่เสาร์โครงการชลประทานพะเยา จ.พะเยา</v>
      </c>
      <c r="C125" s="24" t="str">
        <f>[13]รายการสรุป!$I$22</f>
        <v>0700338006410252</v>
      </c>
      <c r="D125" s="6" t="s">
        <v>85</v>
      </c>
      <c r="E125" s="7">
        <f t="shared" ref="E125:E127" si="226">F125+G125</f>
        <v>108193</v>
      </c>
      <c r="F125" s="7">
        <v>0</v>
      </c>
      <c r="G125" s="8">
        <f>[13]รายการสรุป!$J$22</f>
        <v>108193</v>
      </c>
      <c r="H125" s="7">
        <f t="shared" ref="H125:H127" si="227">J125+K125</f>
        <v>105344</v>
      </c>
      <c r="I125" s="7">
        <f t="shared" ref="I125:I127" si="228">H125*100/E125</f>
        <v>97.366742765243586</v>
      </c>
      <c r="J125" s="7">
        <v>0</v>
      </c>
      <c r="K125" s="7">
        <f>48359+24935+14960+3120+5920+8050</f>
        <v>105344</v>
      </c>
      <c r="L125" s="7">
        <f t="shared" ref="L125:L127" si="229">N125+O125</f>
        <v>0</v>
      </c>
      <c r="M125" s="7">
        <f t="shared" ref="M125:M127" si="230">L125*100/E125</f>
        <v>0</v>
      </c>
      <c r="N125" s="7">
        <v>0</v>
      </c>
      <c r="O125" s="7">
        <v>0</v>
      </c>
      <c r="P125" s="7">
        <f t="shared" ref="P125:P127" si="231">R125+S125</f>
        <v>2849</v>
      </c>
      <c r="Q125" s="7">
        <f t="shared" ref="Q125:Q127" si="232">P125*100/E125</f>
        <v>2.6332572347564076</v>
      </c>
      <c r="R125" s="7">
        <f t="shared" ref="R125:R127" si="233">F125-J125-N125</f>
        <v>0</v>
      </c>
      <c r="S125" s="7">
        <f t="shared" ref="S125:S127" si="234">G125-K125-O125</f>
        <v>2849</v>
      </c>
    </row>
    <row r="126" spans="1:20" ht="34.5" customHeight="1" x14ac:dyDescent="0.5">
      <c r="A126" s="15">
        <v>114</v>
      </c>
      <c r="B126" s="53" t="str">
        <f>[13]รายการสรุป!$E$23</f>
        <v>ซ่อมแซมคอนกรีตดาดคลองส่งน้ำสายLMCกม.3+500กม.5+000อ่างเก็บน้ำน้ำจุน จ.พะเยา</v>
      </c>
      <c r="C126" s="24" t="str">
        <f>[13]รายการสรุป!$I$23</f>
        <v>0700338006410253</v>
      </c>
      <c r="D126" s="6" t="s">
        <v>85</v>
      </c>
      <c r="E126" s="7">
        <f t="shared" si="226"/>
        <v>43600</v>
      </c>
      <c r="F126" s="7">
        <v>0</v>
      </c>
      <c r="G126" s="8">
        <f>[13]รายการสรุป!$J$23</f>
        <v>43600</v>
      </c>
      <c r="H126" s="7">
        <f t="shared" si="227"/>
        <v>43423</v>
      </c>
      <c r="I126" s="7">
        <f t="shared" si="228"/>
        <v>99.594036697247702</v>
      </c>
      <c r="J126" s="7">
        <v>0</v>
      </c>
      <c r="K126" s="7">
        <f>9053+31250+3120</f>
        <v>43423</v>
      </c>
      <c r="L126" s="7">
        <f t="shared" si="229"/>
        <v>0</v>
      </c>
      <c r="M126" s="7">
        <f t="shared" si="230"/>
        <v>0</v>
      </c>
      <c r="N126" s="7">
        <v>0</v>
      </c>
      <c r="O126" s="7">
        <v>0</v>
      </c>
      <c r="P126" s="7">
        <f t="shared" si="231"/>
        <v>177</v>
      </c>
      <c r="Q126" s="7">
        <f t="shared" si="232"/>
        <v>0.40596330275229359</v>
      </c>
      <c r="R126" s="7">
        <f t="shared" si="233"/>
        <v>0</v>
      </c>
      <c r="S126" s="7">
        <f t="shared" si="234"/>
        <v>177</v>
      </c>
    </row>
    <row r="127" spans="1:20" ht="32.25" customHeight="1" x14ac:dyDescent="0.5">
      <c r="A127" s="15">
        <v>115</v>
      </c>
      <c r="B127" s="53" t="str">
        <f>[13]รายการสรุป!$E$24</f>
        <v>ซ่อมแซมคลองส่งน้ำสายทุ่งก๊อต กม.0+000กม.0+800อ่างเก็บน้ำหัวนา จ.พะเยา</v>
      </c>
      <c r="C127" s="24" t="str">
        <f>[13]รายการสรุป!$I$24</f>
        <v>0700338006410254</v>
      </c>
      <c r="D127" s="6" t="s">
        <v>85</v>
      </c>
      <c r="E127" s="7">
        <f t="shared" si="226"/>
        <v>28800</v>
      </c>
      <c r="F127" s="7">
        <v>0</v>
      </c>
      <c r="G127" s="8">
        <f>[13]รายการสรุป!$J$24</f>
        <v>28800</v>
      </c>
      <c r="H127" s="7">
        <f t="shared" si="227"/>
        <v>28680</v>
      </c>
      <c r="I127" s="7">
        <f t="shared" si="228"/>
        <v>99.583333333333329</v>
      </c>
      <c r="J127" s="7">
        <v>0</v>
      </c>
      <c r="K127" s="7">
        <f>13680+15000</f>
        <v>28680</v>
      </c>
      <c r="L127" s="7">
        <f t="shared" si="229"/>
        <v>0</v>
      </c>
      <c r="M127" s="7">
        <f t="shared" si="230"/>
        <v>0</v>
      </c>
      <c r="N127" s="7">
        <v>0</v>
      </c>
      <c r="O127" s="7">
        <v>0</v>
      </c>
      <c r="P127" s="7">
        <f t="shared" si="231"/>
        <v>120</v>
      </c>
      <c r="Q127" s="7">
        <f t="shared" si="232"/>
        <v>0.41666666666666669</v>
      </c>
      <c r="R127" s="7">
        <f t="shared" si="233"/>
        <v>0</v>
      </c>
      <c r="S127" s="7">
        <f t="shared" si="234"/>
        <v>120</v>
      </c>
    </row>
    <row r="128" spans="1:20" ht="28.5" customHeight="1" x14ac:dyDescent="0.5">
      <c r="A128" s="15"/>
      <c r="B128" s="48" t="s">
        <v>41</v>
      </c>
      <c r="C128" s="63"/>
      <c r="D128" s="63"/>
      <c r="E128" s="49">
        <f t="shared" si="199"/>
        <v>720400</v>
      </c>
      <c r="F128" s="49">
        <f>SUM(F130:F136)</f>
        <v>0</v>
      </c>
      <c r="G128" s="49">
        <f>SUM(G129:G179)</f>
        <v>720400</v>
      </c>
      <c r="H128" s="49">
        <f>J128+K128</f>
        <v>537477.10000000009</v>
      </c>
      <c r="I128" s="49">
        <f>H128*100/E128</f>
        <v>74.608148250971695</v>
      </c>
      <c r="J128" s="49">
        <f>SUM(J130:J136)</f>
        <v>0</v>
      </c>
      <c r="K128" s="49">
        <f>SUM(K129:K179)</f>
        <v>537477.10000000009</v>
      </c>
      <c r="L128" s="49">
        <f>N128+O128</f>
        <v>0</v>
      </c>
      <c r="M128" s="48"/>
      <c r="N128" s="49">
        <f>SUM(N130:N134)</f>
        <v>0</v>
      </c>
      <c r="O128" s="49">
        <f>SUM(O129:O179)</f>
        <v>0</v>
      </c>
      <c r="P128" s="49">
        <f>R128+S128</f>
        <v>182922.89999999991</v>
      </c>
      <c r="Q128" s="49">
        <f t="shared" si="205"/>
        <v>25.391851749028309</v>
      </c>
      <c r="R128" s="49">
        <f>SUM(R130:R134)</f>
        <v>0</v>
      </c>
      <c r="S128" s="49">
        <f>G128-K128-O128</f>
        <v>182922.89999999991</v>
      </c>
      <c r="T128" s="26">
        <f>I128+M128+Q128</f>
        <v>100</v>
      </c>
    </row>
    <row r="129" spans="1:20" ht="32.25" customHeight="1" x14ac:dyDescent="0.5">
      <c r="A129" s="15">
        <v>116</v>
      </c>
      <c r="B129" s="7" t="str">
        <f>[14]รายการสรุป!$E$5</f>
        <v>ซ่อมแซมระบบส่งน้ำฝายวังเคียน กม.6+000+ กม.7+000 จ.เชียงราย</v>
      </c>
      <c r="C129" s="69" t="str">
        <f>[14]รายการสรุป!$I$5</f>
        <v>0700338006410FE6</v>
      </c>
      <c r="D129" s="6" t="s">
        <v>38</v>
      </c>
      <c r="E129" s="7">
        <f t="shared" si="199"/>
        <v>0</v>
      </c>
      <c r="F129" s="7">
        <v>0</v>
      </c>
      <c r="G129" s="8">
        <f>[14]รายการสรุป!$J$5</f>
        <v>0</v>
      </c>
      <c r="H129" s="7">
        <f t="shared" ref="H129" si="235">J129+K129</f>
        <v>0</v>
      </c>
      <c r="I129" s="7" t="e">
        <f t="shared" ref="I129" si="236">H129*100/E129</f>
        <v>#DIV/0!</v>
      </c>
      <c r="J129" s="7">
        <v>0</v>
      </c>
      <c r="K129" s="7">
        <v>0</v>
      </c>
      <c r="L129" s="7">
        <f t="shared" ref="L129" si="237">N129+O129</f>
        <v>0</v>
      </c>
      <c r="M129" s="7" t="e">
        <f t="shared" ref="M129" si="238">L129*100/E129</f>
        <v>#DIV/0!</v>
      </c>
      <c r="N129" s="7">
        <v>0</v>
      </c>
      <c r="O129" s="7">
        <v>0</v>
      </c>
      <c r="P129" s="7">
        <f t="shared" ref="P129" si="239">R129+S129</f>
        <v>0</v>
      </c>
      <c r="Q129" s="7" t="e">
        <f t="shared" si="205"/>
        <v>#DIV/0!</v>
      </c>
      <c r="R129" s="7">
        <f t="shared" ref="R129" si="240">F129-J129-N129</f>
        <v>0</v>
      </c>
      <c r="S129" s="7">
        <f t="shared" ref="S129" si="241">G129-K129-O129</f>
        <v>0</v>
      </c>
      <c r="T129" s="1" t="s">
        <v>83</v>
      </c>
    </row>
    <row r="130" spans="1:20" ht="45" customHeight="1" x14ac:dyDescent="0.5">
      <c r="A130" s="15">
        <v>117</v>
      </c>
      <c r="B130" s="53" t="str">
        <f>[14]รายการสรุป!$E$6</f>
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</c>
      <c r="C130" s="24" t="str">
        <f>[14]รายการสรุป!$I$6</f>
        <v>0700338006410FE7</v>
      </c>
      <c r="D130" s="6" t="s">
        <v>38</v>
      </c>
      <c r="E130" s="7">
        <f t="shared" ref="E130:E133" si="242">F130+G130</f>
        <v>0</v>
      </c>
      <c r="F130" s="7">
        <v>0</v>
      </c>
      <c r="G130" s="8">
        <f>[14]รายการสรุป!$J$6</f>
        <v>0</v>
      </c>
      <c r="H130" s="7">
        <f t="shared" ref="H130:H133" si="243">J130+K130</f>
        <v>0</v>
      </c>
      <c r="I130" s="7" t="e">
        <f t="shared" ref="I130:I133" si="244">H130*100/E130</f>
        <v>#DIV/0!</v>
      </c>
      <c r="J130" s="7">
        <v>0</v>
      </c>
      <c r="K130" s="7">
        <v>0</v>
      </c>
      <c r="L130" s="7">
        <f t="shared" ref="L130:L133" si="245">N130+O130</f>
        <v>0</v>
      </c>
      <c r="M130" s="7" t="e">
        <f t="shared" ref="M130:M133" si="246">L130*100/E130</f>
        <v>#DIV/0!</v>
      </c>
      <c r="N130" s="7">
        <v>0</v>
      </c>
      <c r="O130" s="7">
        <v>0</v>
      </c>
      <c r="P130" s="7">
        <f t="shared" ref="P130:P133" si="247">R130+S130</f>
        <v>0</v>
      </c>
      <c r="Q130" s="7" t="e">
        <f t="shared" ref="Q130:Q133" si="248">P130*100/E130</f>
        <v>#DIV/0!</v>
      </c>
      <c r="R130" s="7">
        <f t="shared" ref="R130:R133" si="249">F130-J130-N130</f>
        <v>0</v>
      </c>
      <c r="S130" s="7">
        <f t="shared" ref="S130:S133" si="250">G130-K130-O130</f>
        <v>0</v>
      </c>
      <c r="T130" s="1" t="s">
        <v>83</v>
      </c>
    </row>
    <row r="131" spans="1:20" ht="30" customHeight="1" x14ac:dyDescent="0.5">
      <c r="A131" s="15">
        <v>118</v>
      </c>
      <c r="B131" s="53" t="str">
        <f>[14]รายการสรุป!$E$7</f>
        <v>งานซ่อมแซมคลองส่งน้ำฝั่งขวา ระหว่าง กม.0+000+1+500 อ่างเก็บน้ำห้วยตาควน จ.เชียงราย</v>
      </c>
      <c r="C131" s="24" t="str">
        <f>[14]รายการสรุป!$I$7</f>
        <v>0700338006410FE8</v>
      </c>
      <c r="D131" s="6" t="s">
        <v>38</v>
      </c>
      <c r="E131" s="7">
        <f t="shared" si="242"/>
        <v>0</v>
      </c>
      <c r="F131" s="7">
        <v>0</v>
      </c>
      <c r="G131" s="8">
        <f>[14]รายการสรุป!$J$7</f>
        <v>0</v>
      </c>
      <c r="H131" s="7">
        <f t="shared" si="243"/>
        <v>0</v>
      </c>
      <c r="I131" s="7" t="e">
        <f t="shared" si="244"/>
        <v>#DIV/0!</v>
      </c>
      <c r="J131" s="7">
        <v>0</v>
      </c>
      <c r="K131" s="7">
        <v>0</v>
      </c>
      <c r="L131" s="7">
        <f t="shared" si="245"/>
        <v>0</v>
      </c>
      <c r="M131" s="7" t="e">
        <f t="shared" si="246"/>
        <v>#DIV/0!</v>
      </c>
      <c r="N131" s="7">
        <v>0</v>
      </c>
      <c r="O131" s="7">
        <v>0</v>
      </c>
      <c r="P131" s="7">
        <f t="shared" si="247"/>
        <v>0</v>
      </c>
      <c r="Q131" s="7" t="e">
        <f t="shared" si="248"/>
        <v>#DIV/0!</v>
      </c>
      <c r="R131" s="7">
        <f t="shared" si="249"/>
        <v>0</v>
      </c>
      <c r="S131" s="7">
        <f t="shared" si="250"/>
        <v>0</v>
      </c>
      <c r="T131" s="1" t="s">
        <v>83</v>
      </c>
    </row>
    <row r="132" spans="1:20" ht="30" customHeight="1" x14ac:dyDescent="0.5">
      <c r="A132" s="15">
        <v>119</v>
      </c>
      <c r="B132" s="53" t="str">
        <f>[14]รายการสรุป!$E$8</f>
        <v>ซ่อมแซมระบบท่อส่งน้ำ อ่างเก็บน้ำห้วยต้นยาง จ.เชียงราย</v>
      </c>
      <c r="C132" s="24" t="str">
        <f>[14]รายการสรุป!$I$8</f>
        <v>0700338006410FO6</v>
      </c>
      <c r="D132" s="6" t="s">
        <v>38</v>
      </c>
      <c r="E132" s="7">
        <f t="shared" si="242"/>
        <v>0</v>
      </c>
      <c r="F132" s="7">
        <v>0</v>
      </c>
      <c r="G132" s="8">
        <f>[14]รายการสรุป!$J$8</f>
        <v>0</v>
      </c>
      <c r="H132" s="7">
        <f t="shared" si="243"/>
        <v>0</v>
      </c>
      <c r="I132" s="7" t="e">
        <f t="shared" si="244"/>
        <v>#DIV/0!</v>
      </c>
      <c r="J132" s="7">
        <v>0</v>
      </c>
      <c r="K132" s="7">
        <v>0</v>
      </c>
      <c r="L132" s="7">
        <f t="shared" si="245"/>
        <v>0</v>
      </c>
      <c r="M132" s="7" t="e">
        <f t="shared" si="246"/>
        <v>#DIV/0!</v>
      </c>
      <c r="N132" s="7">
        <v>0</v>
      </c>
      <c r="O132" s="7">
        <v>0</v>
      </c>
      <c r="P132" s="7">
        <f t="shared" si="247"/>
        <v>0</v>
      </c>
      <c r="Q132" s="7" t="e">
        <f t="shared" si="248"/>
        <v>#DIV/0!</v>
      </c>
      <c r="R132" s="7">
        <f t="shared" si="249"/>
        <v>0</v>
      </c>
      <c r="S132" s="7">
        <f t="shared" si="250"/>
        <v>0</v>
      </c>
      <c r="T132" s="1" t="s">
        <v>83</v>
      </c>
    </row>
    <row r="133" spans="1:20" ht="30" customHeight="1" x14ac:dyDescent="0.5">
      <c r="A133" s="15">
        <v>120</v>
      </c>
      <c r="B133" s="53" t="str">
        <f>[14]รายการสรุป!$E$9</f>
        <v>ซ่อมแซมระบบส่งน้ำฝายห้วยแล้ง จ.เชียงราย</v>
      </c>
      <c r="C133" s="24" t="str">
        <f>[14]รายการสรุป!$I$9</f>
        <v>0700338006410FE9</v>
      </c>
      <c r="D133" s="6" t="s">
        <v>38</v>
      </c>
      <c r="E133" s="7">
        <f t="shared" si="242"/>
        <v>0</v>
      </c>
      <c r="F133" s="7">
        <v>0</v>
      </c>
      <c r="G133" s="8">
        <f>[14]รายการสรุป!$J$9</f>
        <v>0</v>
      </c>
      <c r="H133" s="7">
        <f t="shared" si="243"/>
        <v>0</v>
      </c>
      <c r="I133" s="7" t="e">
        <f t="shared" si="244"/>
        <v>#DIV/0!</v>
      </c>
      <c r="J133" s="7">
        <v>0</v>
      </c>
      <c r="K133" s="7">
        <v>0</v>
      </c>
      <c r="L133" s="7">
        <f t="shared" si="245"/>
        <v>0</v>
      </c>
      <c r="M133" s="7" t="e">
        <f t="shared" si="246"/>
        <v>#DIV/0!</v>
      </c>
      <c r="N133" s="7">
        <v>0</v>
      </c>
      <c r="O133" s="7">
        <v>0</v>
      </c>
      <c r="P133" s="7">
        <f t="shared" si="247"/>
        <v>0</v>
      </c>
      <c r="Q133" s="7" t="e">
        <f t="shared" si="248"/>
        <v>#DIV/0!</v>
      </c>
      <c r="R133" s="7">
        <f t="shared" si="249"/>
        <v>0</v>
      </c>
      <c r="S133" s="7">
        <f t="shared" si="250"/>
        <v>0</v>
      </c>
      <c r="T133" s="1" t="s">
        <v>83</v>
      </c>
    </row>
    <row r="134" spans="1:20" ht="30" customHeight="1" x14ac:dyDescent="0.5">
      <c r="A134" s="15">
        <v>121</v>
      </c>
      <c r="B134" s="53" t="str">
        <f>[14]รายการสรุป!$E$10</f>
        <v>ซ่อมแซมคอนกรีตดาดคลองส่งน้ำฝั่งขวาอ่างเก็บน้ำห้วยสัก จ.เชียงราย</v>
      </c>
      <c r="C134" s="24" t="str">
        <f>[14]รายการสรุป!$I$10</f>
        <v>0700338006410FF0</v>
      </c>
      <c r="D134" s="6" t="s">
        <v>38</v>
      </c>
      <c r="E134" s="7">
        <f t="shared" ref="E134:E202" si="251">F134+G134</f>
        <v>0</v>
      </c>
      <c r="F134" s="7">
        <v>0</v>
      </c>
      <c r="G134" s="8">
        <f>[14]รายการสรุป!$J$10</f>
        <v>0</v>
      </c>
      <c r="H134" s="7">
        <f t="shared" ref="H134:H136" si="252">J134+K134</f>
        <v>0</v>
      </c>
      <c r="I134" s="7" t="e">
        <f t="shared" ref="I134:I136" si="253">H134*100/E134</f>
        <v>#DIV/0!</v>
      </c>
      <c r="J134" s="7">
        <v>0</v>
      </c>
      <c r="K134" s="7">
        <v>0</v>
      </c>
      <c r="L134" s="7">
        <f t="shared" ref="L134:L136" si="254">N134+O134</f>
        <v>0</v>
      </c>
      <c r="M134" s="7" t="e">
        <f t="shared" ref="M134:M136" si="255">L134*100/E134</f>
        <v>#DIV/0!</v>
      </c>
      <c r="N134" s="7">
        <v>0</v>
      </c>
      <c r="O134" s="7">
        <v>0</v>
      </c>
      <c r="P134" s="7">
        <f t="shared" ref="P134:P136" si="256">R134+S134</f>
        <v>0</v>
      </c>
      <c r="Q134" s="7" t="e">
        <f t="shared" ref="Q134:Q180" si="257">P134*100/E134</f>
        <v>#DIV/0!</v>
      </c>
      <c r="R134" s="7">
        <f t="shared" ref="R134:R136" si="258">F134-J134-N134</f>
        <v>0</v>
      </c>
      <c r="S134" s="7">
        <f t="shared" ref="S134:S136" si="259">G134-K134-O134</f>
        <v>0</v>
      </c>
      <c r="T134" s="1" t="s">
        <v>83</v>
      </c>
    </row>
    <row r="135" spans="1:20" ht="30" customHeight="1" x14ac:dyDescent="0.5">
      <c r="A135" s="15">
        <v>122</v>
      </c>
      <c r="B135" s="53" t="str">
        <f>[14]รายการสรุป!$E$11</f>
        <v>ซ่อมแซมอาคารท่อลอดคลองส่งน้ำอ่างเก็บน้ำห้วยหลวง กม.1+000+กม.2+000 จ.เชีบงราย</v>
      </c>
      <c r="C135" s="24" t="str">
        <f>[14]รายการสรุป!$I$11</f>
        <v>0700338006410FO7</v>
      </c>
      <c r="D135" s="6" t="s">
        <v>38</v>
      </c>
      <c r="E135" s="7">
        <f t="shared" si="251"/>
        <v>0</v>
      </c>
      <c r="F135" s="7">
        <v>0</v>
      </c>
      <c r="G135" s="8">
        <f>[14]รายการสรุป!$J$11</f>
        <v>0</v>
      </c>
      <c r="H135" s="7">
        <f t="shared" si="252"/>
        <v>0</v>
      </c>
      <c r="I135" s="7" t="e">
        <f t="shared" si="253"/>
        <v>#DIV/0!</v>
      </c>
      <c r="J135" s="7">
        <v>0</v>
      </c>
      <c r="K135" s="7">
        <v>0</v>
      </c>
      <c r="L135" s="7">
        <f t="shared" si="254"/>
        <v>0</v>
      </c>
      <c r="M135" s="7" t="e">
        <f t="shared" si="255"/>
        <v>#DIV/0!</v>
      </c>
      <c r="N135" s="7">
        <v>0</v>
      </c>
      <c r="O135" s="7">
        <v>0</v>
      </c>
      <c r="P135" s="7">
        <f t="shared" si="256"/>
        <v>0</v>
      </c>
      <c r="Q135" s="7" t="e">
        <f t="shared" si="257"/>
        <v>#DIV/0!</v>
      </c>
      <c r="R135" s="7">
        <f t="shared" si="258"/>
        <v>0</v>
      </c>
      <c r="S135" s="7">
        <f t="shared" si="259"/>
        <v>0</v>
      </c>
      <c r="T135" s="1" t="s">
        <v>83</v>
      </c>
    </row>
    <row r="136" spans="1:20" ht="30" customHeight="1" x14ac:dyDescent="0.5">
      <c r="A136" s="15">
        <v>123</v>
      </c>
      <c r="B136" s="53" t="str">
        <f>[14]รายการสรุป!$E$12</f>
        <v>ซ่อมแซมคอนกรีตดาดคลองส่งน้ำอ่างเก็บน้ำห้วยหลวง กม.1+800-กม.3+000 จ.เชียงราย</v>
      </c>
      <c r="C136" s="24" t="str">
        <f>[14]รายการสรุป!$I$12</f>
        <v>0700338006410FF1</v>
      </c>
      <c r="D136" s="6" t="s">
        <v>38</v>
      </c>
      <c r="E136" s="7">
        <f t="shared" si="251"/>
        <v>0</v>
      </c>
      <c r="F136" s="7">
        <v>0</v>
      </c>
      <c r="G136" s="8">
        <f>[14]รายการสรุป!$J$12</f>
        <v>0</v>
      </c>
      <c r="H136" s="7">
        <f t="shared" si="252"/>
        <v>0</v>
      </c>
      <c r="I136" s="7" t="e">
        <f t="shared" si="253"/>
        <v>#DIV/0!</v>
      </c>
      <c r="J136" s="7">
        <v>0</v>
      </c>
      <c r="K136" s="7">
        <v>0</v>
      </c>
      <c r="L136" s="7">
        <f t="shared" si="254"/>
        <v>0</v>
      </c>
      <c r="M136" s="7" t="e">
        <f t="shared" si="255"/>
        <v>#DIV/0!</v>
      </c>
      <c r="N136" s="7">
        <v>0</v>
      </c>
      <c r="O136" s="7">
        <v>0</v>
      </c>
      <c r="P136" s="7">
        <f t="shared" si="256"/>
        <v>0</v>
      </c>
      <c r="Q136" s="7" t="e">
        <f t="shared" si="257"/>
        <v>#DIV/0!</v>
      </c>
      <c r="R136" s="7">
        <f t="shared" si="258"/>
        <v>0</v>
      </c>
      <c r="S136" s="7">
        <f t="shared" si="259"/>
        <v>0</v>
      </c>
      <c r="T136" s="1" t="s">
        <v>83</v>
      </c>
    </row>
    <row r="137" spans="1:20" ht="49.5" customHeight="1" x14ac:dyDescent="0.5">
      <c r="A137" s="15">
        <v>124</v>
      </c>
      <c r="B137" s="53" t="str">
        <f>[15]รายการสรุป!$E$5</f>
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</c>
      <c r="C137" s="24" t="str">
        <f>[15]รายการสรุป!$I$5</f>
        <v>0700338006410523</v>
      </c>
      <c r="D137" s="6" t="s">
        <v>55</v>
      </c>
      <c r="E137" s="7">
        <f t="shared" ref="E137" si="260">F137+G137</f>
        <v>0</v>
      </c>
      <c r="F137" s="7">
        <v>0</v>
      </c>
      <c r="G137" s="8">
        <f>[15]รายการสรุป!$J$5</f>
        <v>0</v>
      </c>
      <c r="H137" s="7">
        <f t="shared" ref="H137" si="261">J137+K137</f>
        <v>0</v>
      </c>
      <c r="I137" s="7" t="e">
        <f t="shared" ref="I137" si="262">H137*100/E137</f>
        <v>#DIV/0!</v>
      </c>
      <c r="J137" s="7">
        <v>0</v>
      </c>
      <c r="K137" s="7">
        <v>0</v>
      </c>
      <c r="L137" s="7">
        <f t="shared" ref="L137" si="263">N137+O137</f>
        <v>0</v>
      </c>
      <c r="M137" s="7" t="e">
        <f t="shared" ref="M137" si="264">L137*100/E137</f>
        <v>#DIV/0!</v>
      </c>
      <c r="N137" s="7">
        <v>0</v>
      </c>
      <c r="O137" s="7">
        <v>0</v>
      </c>
      <c r="P137" s="7">
        <f t="shared" ref="P137" si="265">R137+S137</f>
        <v>0</v>
      </c>
      <c r="Q137" s="7" t="e">
        <f t="shared" ref="Q137" si="266">P137*100/E137</f>
        <v>#DIV/0!</v>
      </c>
      <c r="R137" s="7">
        <f t="shared" ref="R137" si="267">F137-J137-N137</f>
        <v>0</v>
      </c>
      <c r="S137" s="7">
        <f t="shared" ref="S137" si="268">G137-K137-O137</f>
        <v>0</v>
      </c>
      <c r="T137" s="1" t="s">
        <v>83</v>
      </c>
    </row>
    <row r="138" spans="1:20" ht="47.25" customHeight="1" x14ac:dyDescent="0.5">
      <c r="A138" s="15">
        <v>125</v>
      </c>
      <c r="B138" s="53" t="str">
        <f>[15]รายการสรุป!$E$6</f>
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</c>
      <c r="C138" s="24" t="str">
        <f>[15]รายการสรุป!$I$6</f>
        <v>0700338006410524</v>
      </c>
      <c r="D138" s="6" t="s">
        <v>55</v>
      </c>
      <c r="E138" s="7">
        <f t="shared" ref="E138:E178" si="269">F138+G138</f>
        <v>0</v>
      </c>
      <c r="F138" s="7">
        <v>0</v>
      </c>
      <c r="G138" s="8">
        <f>[15]รายการสรุป!$J$6</f>
        <v>0</v>
      </c>
      <c r="H138" s="7">
        <f t="shared" ref="H138:H178" si="270">J138+K138</f>
        <v>0</v>
      </c>
      <c r="I138" s="7" t="e">
        <f t="shared" ref="I138:I178" si="271">H138*100/E138</f>
        <v>#DIV/0!</v>
      </c>
      <c r="J138" s="7">
        <v>0</v>
      </c>
      <c r="K138" s="7">
        <v>0</v>
      </c>
      <c r="L138" s="7">
        <f t="shared" ref="L138:L178" si="272">N138+O138</f>
        <v>0</v>
      </c>
      <c r="M138" s="7" t="e">
        <f t="shared" ref="M138:M178" si="273">L138*100/E138</f>
        <v>#DIV/0!</v>
      </c>
      <c r="N138" s="7">
        <v>0</v>
      </c>
      <c r="O138" s="7">
        <v>0</v>
      </c>
      <c r="P138" s="7">
        <f t="shared" ref="P138:P178" si="274">R138+S138</f>
        <v>0</v>
      </c>
      <c r="Q138" s="7" t="e">
        <f t="shared" ref="Q138:Q178" si="275">P138*100/E138</f>
        <v>#DIV/0!</v>
      </c>
      <c r="R138" s="7">
        <f t="shared" ref="R138:R178" si="276">F138-J138-N138</f>
        <v>0</v>
      </c>
      <c r="S138" s="7">
        <f t="shared" ref="S138:S178" si="277">G138-K138-O138</f>
        <v>0</v>
      </c>
      <c r="T138" s="1" t="s">
        <v>83</v>
      </c>
    </row>
    <row r="139" spans="1:20" ht="44.25" customHeight="1" x14ac:dyDescent="0.5">
      <c r="A139" s="15">
        <v>126</v>
      </c>
      <c r="B139" s="53" t="str">
        <f>[15]รายการสรุป!$E$7</f>
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</c>
      <c r="C139" s="24" t="str">
        <f>[15]รายการสรุป!$I$7</f>
        <v>0700338006410267</v>
      </c>
      <c r="D139" s="6" t="s">
        <v>55</v>
      </c>
      <c r="E139" s="7">
        <f t="shared" si="269"/>
        <v>0</v>
      </c>
      <c r="F139" s="7">
        <v>0</v>
      </c>
      <c r="G139" s="8">
        <f>[15]รายการสรุป!$J$7</f>
        <v>0</v>
      </c>
      <c r="H139" s="7">
        <f t="shared" si="270"/>
        <v>0</v>
      </c>
      <c r="I139" s="7" t="e">
        <f t="shared" si="271"/>
        <v>#DIV/0!</v>
      </c>
      <c r="J139" s="7">
        <v>0</v>
      </c>
      <c r="K139" s="7">
        <v>0</v>
      </c>
      <c r="L139" s="7">
        <f t="shared" si="272"/>
        <v>0</v>
      </c>
      <c r="M139" s="7" t="e">
        <f t="shared" si="273"/>
        <v>#DIV/0!</v>
      </c>
      <c r="N139" s="7">
        <v>0</v>
      </c>
      <c r="O139" s="7">
        <v>0</v>
      </c>
      <c r="P139" s="7">
        <f t="shared" si="274"/>
        <v>0</v>
      </c>
      <c r="Q139" s="7" t="e">
        <f t="shared" si="275"/>
        <v>#DIV/0!</v>
      </c>
      <c r="R139" s="7">
        <f t="shared" si="276"/>
        <v>0</v>
      </c>
      <c r="S139" s="7">
        <f t="shared" si="277"/>
        <v>0</v>
      </c>
      <c r="T139" s="1" t="s">
        <v>83</v>
      </c>
    </row>
    <row r="140" spans="1:20" ht="46.5" customHeight="1" x14ac:dyDescent="0.5">
      <c r="A140" s="15">
        <v>127</v>
      </c>
      <c r="B140" s="53" t="str">
        <f>[15]รายการสรุป!$E$8</f>
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</c>
      <c r="C140" s="24" t="str">
        <f>[15]รายการสรุป!$I$8</f>
        <v>0700338006410268</v>
      </c>
      <c r="D140" s="6" t="s">
        <v>55</v>
      </c>
      <c r="E140" s="7">
        <f t="shared" si="269"/>
        <v>0</v>
      </c>
      <c r="F140" s="7">
        <v>0</v>
      </c>
      <c r="G140" s="8">
        <f>[15]รายการสรุป!$J$8</f>
        <v>0</v>
      </c>
      <c r="H140" s="7">
        <f t="shared" si="270"/>
        <v>0</v>
      </c>
      <c r="I140" s="7" t="e">
        <f t="shared" si="271"/>
        <v>#DIV/0!</v>
      </c>
      <c r="J140" s="7">
        <v>0</v>
      </c>
      <c r="K140" s="7">
        <v>0</v>
      </c>
      <c r="L140" s="7">
        <f t="shared" si="272"/>
        <v>0</v>
      </c>
      <c r="M140" s="7" t="e">
        <f t="shared" si="273"/>
        <v>#DIV/0!</v>
      </c>
      <c r="N140" s="7">
        <v>0</v>
      </c>
      <c r="O140" s="7">
        <v>0</v>
      </c>
      <c r="P140" s="7">
        <f t="shared" si="274"/>
        <v>0</v>
      </c>
      <c r="Q140" s="7" t="e">
        <f t="shared" si="275"/>
        <v>#DIV/0!</v>
      </c>
      <c r="R140" s="7">
        <f t="shared" si="276"/>
        <v>0</v>
      </c>
      <c r="S140" s="7">
        <f t="shared" si="277"/>
        <v>0</v>
      </c>
      <c r="T140" s="1" t="s">
        <v>83</v>
      </c>
    </row>
    <row r="141" spans="1:20" ht="32.25" customHeight="1" x14ac:dyDescent="0.5">
      <c r="A141" s="15">
        <v>128</v>
      </c>
      <c r="B141" s="53" t="str">
        <f>[15]รายการสรุป!$E$9</f>
        <v>ซ่อมแซมอ่างเก็บน้ำน้ำคำโครงการชลประทานเชียงราย ต.แม่เงิน อ.เชียงแสน จ.เชียงราย</v>
      </c>
      <c r="C141" s="24" t="str">
        <f>[15]รายการสรุป!$I$9</f>
        <v>0700338006410269</v>
      </c>
      <c r="D141" s="6" t="s">
        <v>55</v>
      </c>
      <c r="E141" s="7">
        <f t="shared" si="269"/>
        <v>0</v>
      </c>
      <c r="F141" s="7">
        <v>0</v>
      </c>
      <c r="G141" s="8">
        <f>[15]รายการสรุป!$J$9</f>
        <v>0</v>
      </c>
      <c r="H141" s="7">
        <f t="shared" si="270"/>
        <v>0</v>
      </c>
      <c r="I141" s="7" t="e">
        <f t="shared" si="271"/>
        <v>#DIV/0!</v>
      </c>
      <c r="J141" s="7">
        <v>0</v>
      </c>
      <c r="K141" s="7">
        <v>0</v>
      </c>
      <c r="L141" s="7">
        <f t="shared" si="272"/>
        <v>0</v>
      </c>
      <c r="M141" s="7" t="e">
        <f t="shared" si="273"/>
        <v>#DIV/0!</v>
      </c>
      <c r="N141" s="7">
        <v>0</v>
      </c>
      <c r="O141" s="7">
        <v>0</v>
      </c>
      <c r="P141" s="7">
        <f t="shared" si="274"/>
        <v>0</v>
      </c>
      <c r="Q141" s="7" t="e">
        <f t="shared" si="275"/>
        <v>#DIV/0!</v>
      </c>
      <c r="R141" s="7">
        <f t="shared" si="276"/>
        <v>0</v>
      </c>
      <c r="S141" s="7">
        <f t="shared" si="277"/>
        <v>0</v>
      </c>
      <c r="T141" s="1" t="s">
        <v>83</v>
      </c>
    </row>
    <row r="142" spans="1:20" ht="30" customHeight="1" x14ac:dyDescent="0.5">
      <c r="A142" s="15">
        <v>129</v>
      </c>
      <c r="B142" s="53" t="str">
        <f>[15]รายการสรุป!$E$10</f>
        <v>ซ่อมแซมบ้านพักระดับ 8 โครงการชลประทานเชียงราย ต.เวียง อ.เมืองเชียงราย จ.เชียงราย</v>
      </c>
      <c r="C142" s="24" t="str">
        <f>[15]รายการสรุป!$I$10</f>
        <v>0700338006410270</v>
      </c>
      <c r="D142" s="6" t="s">
        <v>55</v>
      </c>
      <c r="E142" s="7">
        <f t="shared" si="269"/>
        <v>0</v>
      </c>
      <c r="F142" s="7">
        <v>0</v>
      </c>
      <c r="G142" s="8">
        <f>[15]รายการสรุป!$J$10</f>
        <v>0</v>
      </c>
      <c r="H142" s="7">
        <f t="shared" si="270"/>
        <v>0</v>
      </c>
      <c r="I142" s="7" t="e">
        <f t="shared" si="271"/>
        <v>#DIV/0!</v>
      </c>
      <c r="J142" s="7">
        <v>0</v>
      </c>
      <c r="K142" s="7">
        <v>0</v>
      </c>
      <c r="L142" s="7">
        <f t="shared" si="272"/>
        <v>0</v>
      </c>
      <c r="M142" s="7" t="e">
        <f t="shared" si="273"/>
        <v>#DIV/0!</v>
      </c>
      <c r="N142" s="7">
        <v>0</v>
      </c>
      <c r="O142" s="7">
        <v>0</v>
      </c>
      <c r="P142" s="7">
        <f t="shared" si="274"/>
        <v>0</v>
      </c>
      <c r="Q142" s="7" t="e">
        <f t="shared" si="275"/>
        <v>#DIV/0!</v>
      </c>
      <c r="R142" s="7">
        <f t="shared" si="276"/>
        <v>0</v>
      </c>
      <c r="S142" s="7">
        <f t="shared" si="277"/>
        <v>0</v>
      </c>
      <c r="T142" s="1" t="s">
        <v>83</v>
      </c>
    </row>
    <row r="143" spans="1:20" ht="45" customHeight="1" x14ac:dyDescent="0.5">
      <c r="A143" s="15">
        <v>130</v>
      </c>
      <c r="B143" s="53" t="str">
        <f>[15]รายการสรุป!$E$11</f>
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</c>
      <c r="C143" s="24" t="str">
        <f>[15]รายการสรุป!$I$11</f>
        <v>0700338006410271</v>
      </c>
      <c r="D143" s="6" t="s">
        <v>55</v>
      </c>
      <c r="E143" s="7">
        <f t="shared" si="269"/>
        <v>0</v>
      </c>
      <c r="F143" s="7">
        <v>0</v>
      </c>
      <c r="G143" s="8">
        <f>[15]รายการสรุป!$J$11</f>
        <v>0</v>
      </c>
      <c r="H143" s="7">
        <f t="shared" si="270"/>
        <v>0</v>
      </c>
      <c r="I143" s="7" t="e">
        <f t="shared" si="271"/>
        <v>#DIV/0!</v>
      </c>
      <c r="J143" s="7">
        <v>0</v>
      </c>
      <c r="K143" s="7">
        <v>0</v>
      </c>
      <c r="L143" s="7">
        <f t="shared" si="272"/>
        <v>0</v>
      </c>
      <c r="M143" s="7" t="e">
        <f t="shared" si="273"/>
        <v>#DIV/0!</v>
      </c>
      <c r="N143" s="7">
        <v>0</v>
      </c>
      <c r="O143" s="7">
        <v>0</v>
      </c>
      <c r="P143" s="7">
        <f t="shared" si="274"/>
        <v>0</v>
      </c>
      <c r="Q143" s="7" t="e">
        <f t="shared" si="275"/>
        <v>#DIV/0!</v>
      </c>
      <c r="R143" s="7">
        <f t="shared" si="276"/>
        <v>0</v>
      </c>
      <c r="S143" s="7">
        <f t="shared" si="277"/>
        <v>0</v>
      </c>
      <c r="T143" s="1" t="s">
        <v>83</v>
      </c>
    </row>
    <row r="144" spans="1:20" ht="45" customHeight="1" x14ac:dyDescent="0.5">
      <c r="A144" s="15">
        <v>131</v>
      </c>
      <c r="B144" s="53" t="str">
        <f>[15]รายการสรุป!$E$12</f>
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</c>
      <c r="C144" s="24" t="str">
        <f>[15]รายการสรุป!$I$12</f>
        <v>0700338006410272</v>
      </c>
      <c r="D144" s="6" t="s">
        <v>55</v>
      </c>
      <c r="E144" s="7">
        <f t="shared" si="269"/>
        <v>0</v>
      </c>
      <c r="F144" s="7">
        <v>0</v>
      </c>
      <c r="G144" s="8">
        <f>[15]รายการสรุป!$J$12</f>
        <v>0</v>
      </c>
      <c r="H144" s="7">
        <f t="shared" si="270"/>
        <v>0</v>
      </c>
      <c r="I144" s="7" t="e">
        <f t="shared" si="271"/>
        <v>#DIV/0!</v>
      </c>
      <c r="J144" s="7">
        <v>0</v>
      </c>
      <c r="K144" s="7">
        <v>0</v>
      </c>
      <c r="L144" s="7">
        <f t="shared" si="272"/>
        <v>0</v>
      </c>
      <c r="M144" s="7" t="e">
        <f t="shared" si="273"/>
        <v>#DIV/0!</v>
      </c>
      <c r="N144" s="7">
        <v>0</v>
      </c>
      <c r="O144" s="7">
        <v>0</v>
      </c>
      <c r="P144" s="7">
        <f t="shared" si="274"/>
        <v>0</v>
      </c>
      <c r="Q144" s="7" t="e">
        <f t="shared" si="275"/>
        <v>#DIV/0!</v>
      </c>
      <c r="R144" s="7">
        <f t="shared" si="276"/>
        <v>0</v>
      </c>
      <c r="S144" s="7">
        <f t="shared" si="277"/>
        <v>0</v>
      </c>
      <c r="T144" s="1" t="s">
        <v>83</v>
      </c>
    </row>
    <row r="145" spans="1:20" ht="34.5" customHeight="1" x14ac:dyDescent="0.5">
      <c r="A145" s="15">
        <v>132</v>
      </c>
      <c r="B145" s="53" t="str">
        <f>[15]รายการสรุป!$E$13</f>
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</c>
      <c r="C145" s="24" t="str">
        <f>[15]รายการสรุป!$I$13</f>
        <v>0700338006410273</v>
      </c>
      <c r="D145" s="6" t="s">
        <v>55</v>
      </c>
      <c r="E145" s="7">
        <f t="shared" si="269"/>
        <v>0</v>
      </c>
      <c r="F145" s="7">
        <v>0</v>
      </c>
      <c r="G145" s="8">
        <f>[15]รายการสรุป!$J$13</f>
        <v>0</v>
      </c>
      <c r="H145" s="7">
        <f t="shared" si="270"/>
        <v>0</v>
      </c>
      <c r="I145" s="7" t="e">
        <f t="shared" si="271"/>
        <v>#DIV/0!</v>
      </c>
      <c r="J145" s="7">
        <v>0</v>
      </c>
      <c r="K145" s="7">
        <v>0</v>
      </c>
      <c r="L145" s="7">
        <f t="shared" si="272"/>
        <v>0</v>
      </c>
      <c r="M145" s="7" t="e">
        <f t="shared" si="273"/>
        <v>#DIV/0!</v>
      </c>
      <c r="N145" s="7">
        <v>0</v>
      </c>
      <c r="O145" s="7">
        <v>0</v>
      </c>
      <c r="P145" s="7">
        <f t="shared" si="274"/>
        <v>0</v>
      </c>
      <c r="Q145" s="7" t="e">
        <f t="shared" si="275"/>
        <v>#DIV/0!</v>
      </c>
      <c r="R145" s="7">
        <f t="shared" si="276"/>
        <v>0</v>
      </c>
      <c r="S145" s="7">
        <f t="shared" si="277"/>
        <v>0</v>
      </c>
      <c r="T145" s="1" t="s">
        <v>83</v>
      </c>
    </row>
    <row r="146" spans="1:20" ht="42" customHeight="1" x14ac:dyDescent="0.5">
      <c r="A146" s="15">
        <v>133</v>
      </c>
      <c r="B146" s="53" t="str">
        <f>[15]รายการสรุป!$E$14</f>
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</c>
      <c r="C146" s="24" t="str">
        <f>[15]รายการสรุป!$I$14</f>
        <v>0700338006410274</v>
      </c>
      <c r="D146" s="6" t="s">
        <v>55</v>
      </c>
      <c r="E146" s="7">
        <f t="shared" si="269"/>
        <v>0</v>
      </c>
      <c r="F146" s="7">
        <v>0</v>
      </c>
      <c r="G146" s="8">
        <f>[15]รายการสรุป!$J$14</f>
        <v>0</v>
      </c>
      <c r="H146" s="7">
        <f t="shared" si="270"/>
        <v>0</v>
      </c>
      <c r="I146" s="7" t="e">
        <f t="shared" si="271"/>
        <v>#DIV/0!</v>
      </c>
      <c r="J146" s="7">
        <v>0</v>
      </c>
      <c r="K146" s="7">
        <v>0</v>
      </c>
      <c r="L146" s="7">
        <f t="shared" si="272"/>
        <v>0</v>
      </c>
      <c r="M146" s="7" t="e">
        <f t="shared" si="273"/>
        <v>#DIV/0!</v>
      </c>
      <c r="N146" s="7">
        <v>0</v>
      </c>
      <c r="O146" s="7">
        <v>0</v>
      </c>
      <c r="P146" s="7">
        <f t="shared" si="274"/>
        <v>0</v>
      </c>
      <c r="Q146" s="7" t="e">
        <f t="shared" si="275"/>
        <v>#DIV/0!</v>
      </c>
      <c r="R146" s="7">
        <f t="shared" si="276"/>
        <v>0</v>
      </c>
      <c r="S146" s="7">
        <f t="shared" si="277"/>
        <v>0</v>
      </c>
      <c r="T146" s="1" t="s">
        <v>83</v>
      </c>
    </row>
    <row r="147" spans="1:20" ht="44.25" customHeight="1" x14ac:dyDescent="0.5">
      <c r="A147" s="15">
        <v>134</v>
      </c>
      <c r="B147" s="53" t="str">
        <f>[15]รายการสรุป!$E$15</f>
        <v>ซ่อมแซมคลองส่งน้ำ 1L-RMC ฝายถ้ำวอก กม.3+000-กม.6+470 โครงการชลประทานเชียงราย ต.บัวสลี อ.แม่ลาว จ.เชียงราย</v>
      </c>
      <c r="C147" s="24" t="str">
        <f>[15]รายการสรุป!$I$15</f>
        <v>0700338006410275</v>
      </c>
      <c r="D147" s="6" t="s">
        <v>55</v>
      </c>
      <c r="E147" s="7">
        <f t="shared" si="269"/>
        <v>0</v>
      </c>
      <c r="F147" s="7">
        <v>0</v>
      </c>
      <c r="G147" s="8">
        <f>[15]รายการสรุป!$J$15</f>
        <v>0</v>
      </c>
      <c r="H147" s="7">
        <f t="shared" si="270"/>
        <v>0</v>
      </c>
      <c r="I147" s="7" t="e">
        <f t="shared" si="271"/>
        <v>#DIV/0!</v>
      </c>
      <c r="J147" s="7">
        <v>0</v>
      </c>
      <c r="K147" s="7">
        <v>0</v>
      </c>
      <c r="L147" s="7">
        <f t="shared" si="272"/>
        <v>0</v>
      </c>
      <c r="M147" s="7" t="e">
        <f t="shared" si="273"/>
        <v>#DIV/0!</v>
      </c>
      <c r="N147" s="7">
        <v>0</v>
      </c>
      <c r="O147" s="7">
        <v>0</v>
      </c>
      <c r="P147" s="7">
        <f t="shared" si="274"/>
        <v>0</v>
      </c>
      <c r="Q147" s="7" t="e">
        <f t="shared" si="275"/>
        <v>#DIV/0!</v>
      </c>
      <c r="R147" s="7">
        <f t="shared" si="276"/>
        <v>0</v>
      </c>
      <c r="S147" s="7">
        <f t="shared" si="277"/>
        <v>0</v>
      </c>
      <c r="T147" s="1" t="s">
        <v>83</v>
      </c>
    </row>
    <row r="148" spans="1:20" ht="30" customHeight="1" x14ac:dyDescent="0.5">
      <c r="A148" s="15">
        <v>135</v>
      </c>
      <c r="B148" s="53" t="str">
        <f>[15]รายการสรุป!$E$16</f>
        <v>ซ่อมแซมรางระบายน้ำโครงการชลประทานเชียงราย ต.รอบเวียง อ.เมืองเชียงราย จ.เชียงราย</v>
      </c>
      <c r="C148" s="24" t="str">
        <f>[15]รายการสรุป!$I$16</f>
        <v>0700338006410588</v>
      </c>
      <c r="D148" s="6" t="s">
        <v>55</v>
      </c>
      <c r="E148" s="7">
        <f t="shared" si="269"/>
        <v>0</v>
      </c>
      <c r="F148" s="7">
        <v>0</v>
      </c>
      <c r="G148" s="8">
        <f>[15]รายการสรุป!$J$16</f>
        <v>0</v>
      </c>
      <c r="H148" s="7">
        <f t="shared" si="270"/>
        <v>0</v>
      </c>
      <c r="I148" s="7" t="e">
        <f t="shared" si="271"/>
        <v>#DIV/0!</v>
      </c>
      <c r="J148" s="7">
        <v>0</v>
      </c>
      <c r="K148" s="7">
        <v>0</v>
      </c>
      <c r="L148" s="7">
        <f t="shared" si="272"/>
        <v>0</v>
      </c>
      <c r="M148" s="7" t="e">
        <f t="shared" si="273"/>
        <v>#DIV/0!</v>
      </c>
      <c r="N148" s="7">
        <v>0</v>
      </c>
      <c r="O148" s="7">
        <v>0</v>
      </c>
      <c r="P148" s="7">
        <f t="shared" si="274"/>
        <v>0</v>
      </c>
      <c r="Q148" s="7" t="e">
        <f t="shared" si="275"/>
        <v>#DIV/0!</v>
      </c>
      <c r="R148" s="7">
        <f t="shared" si="276"/>
        <v>0</v>
      </c>
      <c r="S148" s="7">
        <f t="shared" si="277"/>
        <v>0</v>
      </c>
      <c r="T148" s="1" t="s">
        <v>83</v>
      </c>
    </row>
    <row r="149" spans="1:20" ht="35.25" customHeight="1" x14ac:dyDescent="0.5">
      <c r="A149" s="15">
        <v>136</v>
      </c>
      <c r="B149" s="53" t="str">
        <f>[15]รายการสรุป!$E$17</f>
        <v>ซ่อมแซมอาคารสลายพลังงานท้ายฝายทุ่งหลวง โครงการชลประทานเชียงราย ต.ตับเต่า อ.เทิง จ.เชียงราย</v>
      </c>
      <c r="C149" s="24" t="str">
        <f>[15]รายการสรุป!$I$17</f>
        <v>0700338006410276</v>
      </c>
      <c r="D149" s="6" t="s">
        <v>55</v>
      </c>
      <c r="E149" s="7">
        <f t="shared" si="269"/>
        <v>0</v>
      </c>
      <c r="F149" s="7">
        <v>0</v>
      </c>
      <c r="G149" s="8">
        <f>[15]รายการสรุป!$J$17</f>
        <v>0</v>
      </c>
      <c r="H149" s="7">
        <f t="shared" si="270"/>
        <v>0</v>
      </c>
      <c r="I149" s="7" t="e">
        <f t="shared" si="271"/>
        <v>#DIV/0!</v>
      </c>
      <c r="J149" s="7">
        <v>0</v>
      </c>
      <c r="K149" s="7">
        <v>0</v>
      </c>
      <c r="L149" s="7">
        <f t="shared" si="272"/>
        <v>0</v>
      </c>
      <c r="M149" s="7" t="e">
        <f t="shared" si="273"/>
        <v>#DIV/0!</v>
      </c>
      <c r="N149" s="7">
        <v>0</v>
      </c>
      <c r="O149" s="7">
        <v>0</v>
      </c>
      <c r="P149" s="7">
        <f t="shared" si="274"/>
        <v>0</v>
      </c>
      <c r="Q149" s="7" t="e">
        <f t="shared" si="275"/>
        <v>#DIV/0!</v>
      </c>
      <c r="R149" s="7">
        <f t="shared" si="276"/>
        <v>0</v>
      </c>
      <c r="S149" s="7">
        <f t="shared" si="277"/>
        <v>0</v>
      </c>
      <c r="T149" s="1" t="s">
        <v>83</v>
      </c>
    </row>
    <row r="150" spans="1:20" ht="44.25" customHeight="1" x14ac:dyDescent="0.5">
      <c r="A150" s="15">
        <v>137</v>
      </c>
      <c r="B150" s="53" t="str">
        <f>[15]รายการสรุป!$E$18</f>
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</c>
      <c r="C150" s="24" t="str">
        <f>[15]รายการสรุป!$I$18</f>
        <v>0700338006410277</v>
      </c>
      <c r="D150" s="6" t="s">
        <v>55</v>
      </c>
      <c r="E150" s="7">
        <f t="shared" si="269"/>
        <v>0</v>
      </c>
      <c r="F150" s="7">
        <v>0</v>
      </c>
      <c r="G150" s="8">
        <f>[15]รายการสรุป!$J$18</f>
        <v>0</v>
      </c>
      <c r="H150" s="7">
        <f t="shared" si="270"/>
        <v>0</v>
      </c>
      <c r="I150" s="7" t="e">
        <f t="shared" si="271"/>
        <v>#DIV/0!</v>
      </c>
      <c r="J150" s="7">
        <v>0</v>
      </c>
      <c r="K150" s="7">
        <v>0</v>
      </c>
      <c r="L150" s="7">
        <f t="shared" si="272"/>
        <v>0</v>
      </c>
      <c r="M150" s="7" t="e">
        <f t="shared" si="273"/>
        <v>#DIV/0!</v>
      </c>
      <c r="N150" s="7">
        <v>0</v>
      </c>
      <c r="O150" s="7">
        <v>0</v>
      </c>
      <c r="P150" s="7">
        <f t="shared" si="274"/>
        <v>0</v>
      </c>
      <c r="Q150" s="7" t="e">
        <f t="shared" si="275"/>
        <v>#DIV/0!</v>
      </c>
      <c r="R150" s="7">
        <f t="shared" si="276"/>
        <v>0</v>
      </c>
      <c r="S150" s="7">
        <f t="shared" si="277"/>
        <v>0</v>
      </c>
      <c r="T150" s="1" t="s">
        <v>83</v>
      </c>
    </row>
    <row r="151" spans="1:20" ht="43.5" customHeight="1" x14ac:dyDescent="0.5">
      <c r="A151" s="15">
        <v>138</v>
      </c>
      <c r="B151" s="53" t="str">
        <f>[15]รายการสรุป!$E$19</f>
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</c>
      <c r="C151" s="24" t="str">
        <f>[15]รายการสรุป!$I$19</f>
        <v>0700338006410278</v>
      </c>
      <c r="D151" s="6" t="s">
        <v>55</v>
      </c>
      <c r="E151" s="7">
        <f t="shared" si="269"/>
        <v>0</v>
      </c>
      <c r="F151" s="7">
        <v>0</v>
      </c>
      <c r="G151" s="8">
        <f>[15]รายการสรุป!$J$19</f>
        <v>0</v>
      </c>
      <c r="H151" s="7">
        <f t="shared" si="270"/>
        <v>0</v>
      </c>
      <c r="I151" s="7" t="e">
        <f t="shared" si="271"/>
        <v>#DIV/0!</v>
      </c>
      <c r="J151" s="7">
        <v>0</v>
      </c>
      <c r="K151" s="7">
        <v>0</v>
      </c>
      <c r="L151" s="7">
        <f t="shared" si="272"/>
        <v>0</v>
      </c>
      <c r="M151" s="7" t="e">
        <f t="shared" si="273"/>
        <v>#DIV/0!</v>
      </c>
      <c r="N151" s="7">
        <v>0</v>
      </c>
      <c r="O151" s="7">
        <v>0</v>
      </c>
      <c r="P151" s="7">
        <f t="shared" si="274"/>
        <v>0</v>
      </c>
      <c r="Q151" s="7" t="e">
        <f t="shared" si="275"/>
        <v>#DIV/0!</v>
      </c>
      <c r="R151" s="7">
        <f t="shared" si="276"/>
        <v>0</v>
      </c>
      <c r="S151" s="7">
        <f t="shared" si="277"/>
        <v>0</v>
      </c>
      <c r="T151" s="1" t="s">
        <v>83</v>
      </c>
    </row>
    <row r="152" spans="1:20" ht="49.5" customHeight="1" x14ac:dyDescent="0.5">
      <c r="A152" s="15">
        <v>139</v>
      </c>
      <c r="B152" s="53" t="str">
        <f>[15]รายการสรุป!$E$20</f>
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</c>
      <c r="C152" s="24" t="str">
        <f>[15]รายการสรุป!$I$20</f>
        <v>0700338006410279</v>
      </c>
      <c r="D152" s="6" t="s">
        <v>55</v>
      </c>
      <c r="E152" s="7">
        <f t="shared" si="269"/>
        <v>0</v>
      </c>
      <c r="F152" s="7">
        <v>0</v>
      </c>
      <c r="G152" s="8">
        <f>[15]รายการสรุป!$J$20</f>
        <v>0</v>
      </c>
      <c r="H152" s="7">
        <f t="shared" si="270"/>
        <v>0</v>
      </c>
      <c r="I152" s="7" t="e">
        <f t="shared" si="271"/>
        <v>#DIV/0!</v>
      </c>
      <c r="J152" s="7">
        <v>0</v>
      </c>
      <c r="K152" s="7">
        <v>0</v>
      </c>
      <c r="L152" s="7">
        <f t="shared" si="272"/>
        <v>0</v>
      </c>
      <c r="M152" s="7" t="e">
        <f t="shared" si="273"/>
        <v>#DIV/0!</v>
      </c>
      <c r="N152" s="7">
        <v>0</v>
      </c>
      <c r="O152" s="7">
        <v>0</v>
      </c>
      <c r="P152" s="7">
        <f t="shared" si="274"/>
        <v>0</v>
      </c>
      <c r="Q152" s="7" t="e">
        <f t="shared" si="275"/>
        <v>#DIV/0!</v>
      </c>
      <c r="R152" s="7">
        <f t="shared" si="276"/>
        <v>0</v>
      </c>
      <c r="S152" s="7">
        <f t="shared" si="277"/>
        <v>0</v>
      </c>
      <c r="T152" s="1" t="s">
        <v>83</v>
      </c>
    </row>
    <row r="153" spans="1:20" ht="47.25" customHeight="1" x14ac:dyDescent="0.5">
      <c r="A153" s="15">
        <v>140</v>
      </c>
      <c r="B153" s="53" t="str">
        <f>[15]รายการสรุป!$E$21</f>
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</c>
      <c r="C153" s="24" t="str">
        <f>[15]รายการสรุป!$I$21</f>
        <v>0700338006410280</v>
      </c>
      <c r="D153" s="6" t="s">
        <v>55</v>
      </c>
      <c r="E153" s="7">
        <f t="shared" si="269"/>
        <v>0</v>
      </c>
      <c r="F153" s="7">
        <v>0</v>
      </c>
      <c r="G153" s="8">
        <f>[15]รายการสรุป!$J$21</f>
        <v>0</v>
      </c>
      <c r="H153" s="7">
        <f t="shared" si="270"/>
        <v>0</v>
      </c>
      <c r="I153" s="7" t="e">
        <f t="shared" si="271"/>
        <v>#DIV/0!</v>
      </c>
      <c r="J153" s="7">
        <v>0</v>
      </c>
      <c r="K153" s="7">
        <v>0</v>
      </c>
      <c r="L153" s="7">
        <f t="shared" si="272"/>
        <v>0</v>
      </c>
      <c r="M153" s="7" t="e">
        <f t="shared" si="273"/>
        <v>#DIV/0!</v>
      </c>
      <c r="N153" s="7">
        <v>0</v>
      </c>
      <c r="O153" s="7">
        <v>0</v>
      </c>
      <c r="P153" s="7">
        <f t="shared" si="274"/>
        <v>0</v>
      </c>
      <c r="Q153" s="7" t="e">
        <f t="shared" si="275"/>
        <v>#DIV/0!</v>
      </c>
      <c r="R153" s="7">
        <f t="shared" si="276"/>
        <v>0</v>
      </c>
      <c r="S153" s="7">
        <f t="shared" si="277"/>
        <v>0</v>
      </c>
      <c r="T153" s="1" t="s">
        <v>83</v>
      </c>
    </row>
    <row r="154" spans="1:20" ht="48" customHeight="1" x14ac:dyDescent="0.5">
      <c r="A154" s="15">
        <v>141</v>
      </c>
      <c r="B154" s="53" t="str">
        <f>[15]รายการสรุป!$E$22</f>
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</c>
      <c r="C154" s="24" t="str">
        <f>[15]รายการสรุป!$I$22</f>
        <v>0700338006410281</v>
      </c>
      <c r="D154" s="6" t="s">
        <v>55</v>
      </c>
      <c r="E154" s="7">
        <f t="shared" si="269"/>
        <v>0</v>
      </c>
      <c r="F154" s="7">
        <v>0</v>
      </c>
      <c r="G154" s="8">
        <f>[15]รายการสรุป!$J$22</f>
        <v>0</v>
      </c>
      <c r="H154" s="7">
        <f t="shared" si="270"/>
        <v>0</v>
      </c>
      <c r="I154" s="7" t="e">
        <f t="shared" si="271"/>
        <v>#DIV/0!</v>
      </c>
      <c r="J154" s="7">
        <v>0</v>
      </c>
      <c r="K154" s="7">
        <v>0</v>
      </c>
      <c r="L154" s="7">
        <f t="shared" si="272"/>
        <v>0</v>
      </c>
      <c r="M154" s="7" t="e">
        <f t="shared" si="273"/>
        <v>#DIV/0!</v>
      </c>
      <c r="N154" s="7">
        <v>0</v>
      </c>
      <c r="O154" s="7">
        <v>0</v>
      </c>
      <c r="P154" s="7">
        <f t="shared" si="274"/>
        <v>0</v>
      </c>
      <c r="Q154" s="7" t="e">
        <f t="shared" si="275"/>
        <v>#DIV/0!</v>
      </c>
      <c r="R154" s="7">
        <f t="shared" si="276"/>
        <v>0</v>
      </c>
      <c r="S154" s="7">
        <f t="shared" si="277"/>
        <v>0</v>
      </c>
      <c r="T154" s="1" t="s">
        <v>83</v>
      </c>
    </row>
    <row r="155" spans="1:20" ht="28.5" customHeight="1" x14ac:dyDescent="0.5">
      <c r="A155" s="15">
        <v>142</v>
      </c>
      <c r="B155" s="53" t="str">
        <f>[15]รายการสรุป!$E$23</f>
        <v>ซ่อมแซมฝายต้นเขืองโครงการชลประทานเชียงราย ต.ตับเต่า อ.เทิง จ.เชียงราย</v>
      </c>
      <c r="C155" s="24" t="str">
        <f>[15]รายการสรุป!$I$23</f>
        <v>0700338006410282</v>
      </c>
      <c r="D155" s="6" t="s">
        <v>55</v>
      </c>
      <c r="E155" s="7">
        <f t="shared" si="269"/>
        <v>0</v>
      </c>
      <c r="F155" s="7">
        <v>0</v>
      </c>
      <c r="G155" s="8">
        <f>[15]รายการสรุป!$J$23</f>
        <v>0</v>
      </c>
      <c r="H155" s="7">
        <f t="shared" si="270"/>
        <v>0</v>
      </c>
      <c r="I155" s="7" t="e">
        <f t="shared" si="271"/>
        <v>#DIV/0!</v>
      </c>
      <c r="J155" s="7">
        <v>0</v>
      </c>
      <c r="K155" s="7">
        <v>0</v>
      </c>
      <c r="L155" s="7">
        <f t="shared" si="272"/>
        <v>0</v>
      </c>
      <c r="M155" s="7" t="e">
        <f t="shared" si="273"/>
        <v>#DIV/0!</v>
      </c>
      <c r="N155" s="7">
        <v>0</v>
      </c>
      <c r="O155" s="7">
        <v>0</v>
      </c>
      <c r="P155" s="7">
        <f t="shared" si="274"/>
        <v>0</v>
      </c>
      <c r="Q155" s="7" t="e">
        <f t="shared" si="275"/>
        <v>#DIV/0!</v>
      </c>
      <c r="R155" s="7">
        <f t="shared" si="276"/>
        <v>0</v>
      </c>
      <c r="S155" s="7">
        <f t="shared" si="277"/>
        <v>0</v>
      </c>
      <c r="T155" s="1" t="s">
        <v>83</v>
      </c>
    </row>
    <row r="156" spans="1:20" ht="45.75" customHeight="1" x14ac:dyDescent="0.5">
      <c r="A156" s="15">
        <v>143</v>
      </c>
      <c r="B156" s="53" t="str">
        <f>[15]รายการสรุป!$E$24</f>
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</c>
      <c r="C156" s="24" t="str">
        <f>[15]รายการสรุป!$I$24</f>
        <v>0700338006410283</v>
      </c>
      <c r="D156" s="6" t="s">
        <v>55</v>
      </c>
      <c r="E156" s="7">
        <f t="shared" si="269"/>
        <v>0</v>
      </c>
      <c r="F156" s="7">
        <v>0</v>
      </c>
      <c r="G156" s="8">
        <f>[15]รายการสรุป!$J$24</f>
        <v>0</v>
      </c>
      <c r="H156" s="7">
        <f t="shared" si="270"/>
        <v>0</v>
      </c>
      <c r="I156" s="7" t="e">
        <f t="shared" si="271"/>
        <v>#DIV/0!</v>
      </c>
      <c r="J156" s="7">
        <v>0</v>
      </c>
      <c r="K156" s="7">
        <v>0</v>
      </c>
      <c r="L156" s="7">
        <f t="shared" si="272"/>
        <v>0</v>
      </c>
      <c r="M156" s="7" t="e">
        <f t="shared" si="273"/>
        <v>#DIV/0!</v>
      </c>
      <c r="N156" s="7">
        <v>0</v>
      </c>
      <c r="O156" s="7">
        <v>0</v>
      </c>
      <c r="P156" s="7">
        <f t="shared" si="274"/>
        <v>0</v>
      </c>
      <c r="Q156" s="7" t="e">
        <f t="shared" si="275"/>
        <v>#DIV/0!</v>
      </c>
      <c r="R156" s="7">
        <f t="shared" si="276"/>
        <v>0</v>
      </c>
      <c r="S156" s="7">
        <f t="shared" si="277"/>
        <v>0</v>
      </c>
      <c r="T156" s="1" t="s">
        <v>83</v>
      </c>
    </row>
    <row r="157" spans="1:20" ht="45" customHeight="1" x14ac:dyDescent="0.5">
      <c r="A157" s="15">
        <v>144</v>
      </c>
      <c r="B157" s="53" t="str">
        <f>[16]รายการสรุป!$E$5</f>
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</c>
      <c r="C157" s="24" t="str">
        <f>[16]รายการสรุป!$I$5</f>
        <v>0700338006410590</v>
      </c>
      <c r="D157" s="6" t="s">
        <v>55</v>
      </c>
      <c r="E157" s="7">
        <f t="shared" si="269"/>
        <v>0</v>
      </c>
      <c r="F157" s="7">
        <v>0</v>
      </c>
      <c r="G157" s="8">
        <f>[16]รายการสรุป!$J$5</f>
        <v>0</v>
      </c>
      <c r="H157" s="7">
        <f t="shared" si="270"/>
        <v>0</v>
      </c>
      <c r="I157" s="7" t="e">
        <f t="shared" si="271"/>
        <v>#DIV/0!</v>
      </c>
      <c r="J157" s="7">
        <v>0</v>
      </c>
      <c r="K157" s="7">
        <v>0</v>
      </c>
      <c r="L157" s="7">
        <f t="shared" si="272"/>
        <v>0</v>
      </c>
      <c r="M157" s="7" t="e">
        <f t="shared" si="273"/>
        <v>#DIV/0!</v>
      </c>
      <c r="N157" s="7">
        <v>0</v>
      </c>
      <c r="O157" s="7">
        <v>0</v>
      </c>
      <c r="P157" s="7">
        <f t="shared" si="274"/>
        <v>0</v>
      </c>
      <c r="Q157" s="7" t="e">
        <f t="shared" si="275"/>
        <v>#DIV/0!</v>
      </c>
      <c r="R157" s="7">
        <f t="shared" si="276"/>
        <v>0</v>
      </c>
      <c r="S157" s="7">
        <f t="shared" si="277"/>
        <v>0</v>
      </c>
      <c r="T157" s="1" t="s">
        <v>83</v>
      </c>
    </row>
    <row r="158" spans="1:20" ht="44.25" customHeight="1" x14ac:dyDescent="0.5">
      <c r="A158" s="15">
        <v>145</v>
      </c>
      <c r="B158" s="53" t="str">
        <f>[16]รายการสรุป!$E$6</f>
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</c>
      <c r="C158" s="24" t="str">
        <f>[16]รายการสรุป!$I$6</f>
        <v>0700338006410591</v>
      </c>
      <c r="D158" s="6" t="s">
        <v>55</v>
      </c>
      <c r="E158" s="7">
        <f t="shared" si="269"/>
        <v>0</v>
      </c>
      <c r="F158" s="7">
        <v>0</v>
      </c>
      <c r="G158" s="8">
        <f>[16]รายการสรุป!$J$6</f>
        <v>0</v>
      </c>
      <c r="H158" s="7">
        <f t="shared" si="270"/>
        <v>0</v>
      </c>
      <c r="I158" s="7" t="e">
        <f t="shared" si="271"/>
        <v>#DIV/0!</v>
      </c>
      <c r="J158" s="7">
        <v>0</v>
      </c>
      <c r="K158" s="7">
        <v>0</v>
      </c>
      <c r="L158" s="7">
        <f t="shared" si="272"/>
        <v>0</v>
      </c>
      <c r="M158" s="7" t="e">
        <f t="shared" si="273"/>
        <v>#DIV/0!</v>
      </c>
      <c r="N158" s="7">
        <v>0</v>
      </c>
      <c r="O158" s="7">
        <v>0</v>
      </c>
      <c r="P158" s="7">
        <f t="shared" si="274"/>
        <v>0</v>
      </c>
      <c r="Q158" s="7" t="e">
        <f t="shared" si="275"/>
        <v>#DIV/0!</v>
      </c>
      <c r="R158" s="7">
        <f t="shared" si="276"/>
        <v>0</v>
      </c>
      <c r="S158" s="7">
        <f t="shared" si="277"/>
        <v>0</v>
      </c>
      <c r="T158" s="1" t="s">
        <v>83</v>
      </c>
    </row>
    <row r="159" spans="1:20" ht="45.75" customHeight="1" x14ac:dyDescent="0.5">
      <c r="A159" s="15">
        <v>146</v>
      </c>
      <c r="B159" s="53" t="str">
        <f>[16]รายการสรุป!$E$7</f>
        <v>ซ่อมแซมคลองส่งน้ำสาย Kกม.0+000-กม.2+500 โครงการชลประทานเชียงราย ต.เวียงเหนือ อ.เวียงชัย จ.เชียงราย</v>
      </c>
      <c r="C159" s="24" t="str">
        <f>[16]รายการสรุป!$I$7</f>
        <v>0700338006410592</v>
      </c>
      <c r="D159" s="6" t="s">
        <v>55</v>
      </c>
      <c r="E159" s="7">
        <f t="shared" si="269"/>
        <v>0</v>
      </c>
      <c r="F159" s="7">
        <v>0</v>
      </c>
      <c r="G159" s="8">
        <f>[16]รายการสรุป!$J$7</f>
        <v>0</v>
      </c>
      <c r="H159" s="7">
        <f t="shared" si="270"/>
        <v>0</v>
      </c>
      <c r="I159" s="7" t="e">
        <f t="shared" si="271"/>
        <v>#DIV/0!</v>
      </c>
      <c r="J159" s="7">
        <v>0</v>
      </c>
      <c r="K159" s="7">
        <v>0</v>
      </c>
      <c r="L159" s="7">
        <f t="shared" si="272"/>
        <v>0</v>
      </c>
      <c r="M159" s="7" t="e">
        <f t="shared" si="273"/>
        <v>#DIV/0!</v>
      </c>
      <c r="N159" s="7">
        <v>0</v>
      </c>
      <c r="O159" s="7">
        <v>0</v>
      </c>
      <c r="P159" s="7">
        <f t="shared" si="274"/>
        <v>0</v>
      </c>
      <c r="Q159" s="7" t="e">
        <f t="shared" si="275"/>
        <v>#DIV/0!</v>
      </c>
      <c r="R159" s="7">
        <f t="shared" si="276"/>
        <v>0</v>
      </c>
      <c r="S159" s="7">
        <f t="shared" si="277"/>
        <v>0</v>
      </c>
      <c r="T159" s="1" t="s">
        <v>83</v>
      </c>
    </row>
    <row r="160" spans="1:20" ht="48" customHeight="1" x14ac:dyDescent="0.5">
      <c r="A160" s="15">
        <v>147</v>
      </c>
      <c r="B160" s="53" t="str">
        <f>[16]รายการสรุป!$E$8</f>
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</c>
      <c r="C160" s="24" t="str">
        <f>[16]รายการสรุป!$I$8</f>
        <v>0700338006410593</v>
      </c>
      <c r="D160" s="6" t="s">
        <v>55</v>
      </c>
      <c r="E160" s="7">
        <f t="shared" si="269"/>
        <v>0</v>
      </c>
      <c r="F160" s="7">
        <v>0</v>
      </c>
      <c r="G160" s="8">
        <f>[16]รายการสรุป!$J$8</f>
        <v>0</v>
      </c>
      <c r="H160" s="7">
        <f t="shared" si="270"/>
        <v>0</v>
      </c>
      <c r="I160" s="7" t="e">
        <f t="shared" si="271"/>
        <v>#DIV/0!</v>
      </c>
      <c r="J160" s="7">
        <v>0</v>
      </c>
      <c r="K160" s="7">
        <v>0</v>
      </c>
      <c r="L160" s="7">
        <f t="shared" si="272"/>
        <v>0</v>
      </c>
      <c r="M160" s="7" t="e">
        <f t="shared" si="273"/>
        <v>#DIV/0!</v>
      </c>
      <c r="N160" s="7">
        <v>0</v>
      </c>
      <c r="O160" s="7">
        <v>0</v>
      </c>
      <c r="P160" s="7">
        <f t="shared" si="274"/>
        <v>0</v>
      </c>
      <c r="Q160" s="7" t="e">
        <f t="shared" si="275"/>
        <v>#DIV/0!</v>
      </c>
      <c r="R160" s="7">
        <f t="shared" si="276"/>
        <v>0</v>
      </c>
      <c r="S160" s="7">
        <f t="shared" si="277"/>
        <v>0</v>
      </c>
      <c r="T160" s="1" t="s">
        <v>83</v>
      </c>
    </row>
    <row r="161" spans="1:20" ht="29.25" customHeight="1" x14ac:dyDescent="0.5">
      <c r="A161" s="15">
        <v>148</v>
      </c>
      <c r="B161" s="53" t="str">
        <f>[16]รายการสรุป!$E$9</f>
        <v>ซ่อมแซมรั้ว โครงการชลประทานเชียงราย ต.รอบเวียง อ.เมืองเชียงราย จ.เชียงราย</v>
      </c>
      <c r="C161" s="24" t="str">
        <f>[16]รายการสรุป!$I$9</f>
        <v>0700338006410594</v>
      </c>
      <c r="D161" s="6" t="s">
        <v>55</v>
      </c>
      <c r="E161" s="7">
        <f t="shared" si="269"/>
        <v>0</v>
      </c>
      <c r="F161" s="7">
        <v>0</v>
      </c>
      <c r="G161" s="8">
        <f>[16]รายการสรุป!$J$9</f>
        <v>0</v>
      </c>
      <c r="H161" s="7">
        <f t="shared" si="270"/>
        <v>0</v>
      </c>
      <c r="I161" s="7" t="e">
        <f t="shared" si="271"/>
        <v>#DIV/0!</v>
      </c>
      <c r="J161" s="7">
        <v>0</v>
      </c>
      <c r="K161" s="7">
        <v>0</v>
      </c>
      <c r="L161" s="7">
        <f t="shared" si="272"/>
        <v>0</v>
      </c>
      <c r="M161" s="7" t="e">
        <f t="shared" si="273"/>
        <v>#DIV/0!</v>
      </c>
      <c r="N161" s="7">
        <v>0</v>
      </c>
      <c r="O161" s="7">
        <v>0</v>
      </c>
      <c r="P161" s="7">
        <f t="shared" si="274"/>
        <v>0</v>
      </c>
      <c r="Q161" s="7" t="e">
        <f t="shared" si="275"/>
        <v>#DIV/0!</v>
      </c>
      <c r="R161" s="7">
        <f t="shared" si="276"/>
        <v>0</v>
      </c>
      <c r="S161" s="7">
        <f t="shared" si="277"/>
        <v>0</v>
      </c>
      <c r="T161" s="1" t="s">
        <v>83</v>
      </c>
    </row>
    <row r="162" spans="1:20" ht="50.25" customHeight="1" x14ac:dyDescent="0.5">
      <c r="A162" s="15">
        <v>149</v>
      </c>
      <c r="B162" s="53" t="str">
        <f>[16]รายการสรุป!$E$10</f>
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</c>
      <c r="C162" s="24" t="str">
        <f>[16]รายการสรุป!$I$10</f>
        <v>0700338006410595</v>
      </c>
      <c r="D162" s="6" t="s">
        <v>55</v>
      </c>
      <c r="E162" s="7">
        <f t="shared" si="269"/>
        <v>0</v>
      </c>
      <c r="F162" s="7">
        <v>0</v>
      </c>
      <c r="G162" s="8">
        <f>[16]รายการสรุป!$J$10</f>
        <v>0</v>
      </c>
      <c r="H162" s="7">
        <f t="shared" si="270"/>
        <v>0</v>
      </c>
      <c r="I162" s="7" t="e">
        <f t="shared" si="271"/>
        <v>#DIV/0!</v>
      </c>
      <c r="J162" s="7">
        <v>0</v>
      </c>
      <c r="K162" s="7">
        <v>0</v>
      </c>
      <c r="L162" s="7">
        <f t="shared" si="272"/>
        <v>0</v>
      </c>
      <c r="M162" s="7" t="e">
        <f t="shared" si="273"/>
        <v>#DIV/0!</v>
      </c>
      <c r="N162" s="7">
        <v>0</v>
      </c>
      <c r="O162" s="7">
        <v>0</v>
      </c>
      <c r="P162" s="7">
        <f t="shared" si="274"/>
        <v>0</v>
      </c>
      <c r="Q162" s="7" t="e">
        <f t="shared" si="275"/>
        <v>#DIV/0!</v>
      </c>
      <c r="R162" s="7">
        <f t="shared" si="276"/>
        <v>0</v>
      </c>
      <c r="S162" s="7">
        <f t="shared" si="277"/>
        <v>0</v>
      </c>
      <c r="T162" s="1" t="s">
        <v>83</v>
      </c>
    </row>
    <row r="163" spans="1:20" ht="30" customHeight="1" x14ac:dyDescent="0.5">
      <c r="A163" s="15">
        <v>150</v>
      </c>
      <c r="B163" s="53" t="str">
        <f>[16]รายการสรุป!$E$11</f>
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</c>
      <c r="C163" s="24" t="str">
        <f>[16]รายการสรุป!$I$11</f>
        <v>0700338006410596</v>
      </c>
      <c r="D163" s="6" t="s">
        <v>55</v>
      </c>
      <c r="E163" s="7">
        <f t="shared" si="269"/>
        <v>0</v>
      </c>
      <c r="F163" s="7">
        <v>0</v>
      </c>
      <c r="G163" s="8">
        <f>[16]รายการสรุป!$J$11</f>
        <v>0</v>
      </c>
      <c r="H163" s="7">
        <f t="shared" si="270"/>
        <v>0</v>
      </c>
      <c r="I163" s="7" t="e">
        <f t="shared" si="271"/>
        <v>#DIV/0!</v>
      </c>
      <c r="J163" s="7">
        <v>0</v>
      </c>
      <c r="K163" s="7">
        <v>0</v>
      </c>
      <c r="L163" s="7">
        <f t="shared" si="272"/>
        <v>0</v>
      </c>
      <c r="M163" s="7" t="e">
        <f t="shared" si="273"/>
        <v>#DIV/0!</v>
      </c>
      <c r="N163" s="7">
        <v>0</v>
      </c>
      <c r="O163" s="7">
        <v>0</v>
      </c>
      <c r="P163" s="7">
        <f t="shared" si="274"/>
        <v>0</v>
      </c>
      <c r="Q163" s="7" t="e">
        <f t="shared" si="275"/>
        <v>#DIV/0!</v>
      </c>
      <c r="R163" s="7">
        <f t="shared" si="276"/>
        <v>0</v>
      </c>
      <c r="S163" s="7">
        <f t="shared" si="277"/>
        <v>0</v>
      </c>
      <c r="T163" s="1" t="s">
        <v>83</v>
      </c>
    </row>
    <row r="164" spans="1:20" ht="46.5" customHeight="1" x14ac:dyDescent="0.5">
      <c r="A164" s="15">
        <v>151</v>
      </c>
      <c r="B164" s="53" t="str">
        <f>[16]รายการสรุป!$E$12</f>
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</c>
      <c r="C164" s="24" t="str">
        <f>[16]รายการสรุป!$I$12</f>
        <v>0700338006410597</v>
      </c>
      <c r="D164" s="6" t="s">
        <v>55</v>
      </c>
      <c r="E164" s="7">
        <f t="shared" si="269"/>
        <v>0</v>
      </c>
      <c r="F164" s="7">
        <v>0</v>
      </c>
      <c r="G164" s="8">
        <f>[16]รายการสรุป!$J$12</f>
        <v>0</v>
      </c>
      <c r="H164" s="7">
        <f t="shared" si="270"/>
        <v>0</v>
      </c>
      <c r="I164" s="7" t="e">
        <f t="shared" si="271"/>
        <v>#DIV/0!</v>
      </c>
      <c r="J164" s="7">
        <v>0</v>
      </c>
      <c r="K164" s="7">
        <v>0</v>
      </c>
      <c r="L164" s="7">
        <f t="shared" si="272"/>
        <v>0</v>
      </c>
      <c r="M164" s="7" t="e">
        <f t="shared" si="273"/>
        <v>#DIV/0!</v>
      </c>
      <c r="N164" s="7">
        <v>0</v>
      </c>
      <c r="O164" s="7">
        <v>0</v>
      </c>
      <c r="P164" s="7">
        <f t="shared" si="274"/>
        <v>0</v>
      </c>
      <c r="Q164" s="7" t="e">
        <f t="shared" si="275"/>
        <v>#DIV/0!</v>
      </c>
      <c r="R164" s="7">
        <f t="shared" si="276"/>
        <v>0</v>
      </c>
      <c r="S164" s="7">
        <f t="shared" si="277"/>
        <v>0</v>
      </c>
      <c r="T164" s="1" t="s">
        <v>83</v>
      </c>
    </row>
    <row r="165" spans="1:20" ht="49.5" customHeight="1" x14ac:dyDescent="0.5">
      <c r="A165" s="15">
        <v>152</v>
      </c>
      <c r="B165" s="53" t="str">
        <f>[16]รายการสรุป!$E$13</f>
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</c>
      <c r="C165" s="24" t="str">
        <f>[16]รายการสรุป!$I$13</f>
        <v>0700338006410598</v>
      </c>
      <c r="D165" s="6" t="s">
        <v>55</v>
      </c>
      <c r="E165" s="7">
        <f t="shared" si="269"/>
        <v>0</v>
      </c>
      <c r="F165" s="7">
        <v>0</v>
      </c>
      <c r="G165" s="8">
        <f>[16]รายการสรุป!$J$13</f>
        <v>0</v>
      </c>
      <c r="H165" s="7">
        <f t="shared" si="270"/>
        <v>0</v>
      </c>
      <c r="I165" s="7" t="e">
        <f t="shared" si="271"/>
        <v>#DIV/0!</v>
      </c>
      <c r="J165" s="7">
        <v>0</v>
      </c>
      <c r="K165" s="7">
        <v>0</v>
      </c>
      <c r="L165" s="7">
        <f t="shared" si="272"/>
        <v>0</v>
      </c>
      <c r="M165" s="7" t="e">
        <f t="shared" si="273"/>
        <v>#DIV/0!</v>
      </c>
      <c r="N165" s="7">
        <v>0</v>
      </c>
      <c r="O165" s="7">
        <v>0</v>
      </c>
      <c r="P165" s="7">
        <f t="shared" si="274"/>
        <v>0</v>
      </c>
      <c r="Q165" s="7" t="e">
        <f t="shared" si="275"/>
        <v>#DIV/0!</v>
      </c>
      <c r="R165" s="7">
        <f t="shared" si="276"/>
        <v>0</v>
      </c>
      <c r="S165" s="7">
        <f t="shared" si="277"/>
        <v>0</v>
      </c>
      <c r="T165" s="1" t="s">
        <v>83</v>
      </c>
    </row>
    <row r="166" spans="1:20" ht="30" customHeight="1" x14ac:dyDescent="0.5">
      <c r="A166" s="15">
        <v>153</v>
      </c>
      <c r="B166" s="53" t="str">
        <f>[16]รายการสรุป!$E$14</f>
        <v>ซ่อมแซมห้องประชุมโครงการชลประทานเชียงราย ต.รอบเวียง อ.เมืองเชียงราย จ.เชียงราย</v>
      </c>
      <c r="C166" s="24" t="str">
        <f>[16]รายการสรุป!$I$14</f>
        <v>0700338006410284</v>
      </c>
      <c r="D166" s="6" t="s">
        <v>55</v>
      </c>
      <c r="E166" s="7">
        <f t="shared" si="269"/>
        <v>0</v>
      </c>
      <c r="F166" s="7">
        <v>0</v>
      </c>
      <c r="G166" s="8">
        <f>[16]รายการสรุป!$J$14</f>
        <v>0</v>
      </c>
      <c r="H166" s="7">
        <f t="shared" si="270"/>
        <v>0</v>
      </c>
      <c r="I166" s="7" t="e">
        <f t="shared" si="271"/>
        <v>#DIV/0!</v>
      </c>
      <c r="J166" s="7">
        <v>0</v>
      </c>
      <c r="K166" s="7">
        <v>0</v>
      </c>
      <c r="L166" s="7">
        <f t="shared" si="272"/>
        <v>0</v>
      </c>
      <c r="M166" s="7" t="e">
        <f t="shared" si="273"/>
        <v>#DIV/0!</v>
      </c>
      <c r="N166" s="7">
        <v>0</v>
      </c>
      <c r="O166" s="7">
        <v>0</v>
      </c>
      <c r="P166" s="7">
        <f t="shared" si="274"/>
        <v>0</v>
      </c>
      <c r="Q166" s="7" t="e">
        <f t="shared" si="275"/>
        <v>#DIV/0!</v>
      </c>
      <c r="R166" s="7">
        <f t="shared" si="276"/>
        <v>0</v>
      </c>
      <c r="S166" s="7">
        <f t="shared" si="277"/>
        <v>0</v>
      </c>
      <c r="T166" s="1" t="s">
        <v>83</v>
      </c>
    </row>
    <row r="167" spans="1:20" ht="45" customHeight="1" x14ac:dyDescent="0.5">
      <c r="A167" s="15">
        <v>154</v>
      </c>
      <c r="B167" s="53" t="str">
        <f>[16]รายการสรุป!$E$15</f>
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</c>
      <c r="C167" s="24" t="str">
        <f>[16]รายการสรุป!$I$15</f>
        <v>0700338006410285</v>
      </c>
      <c r="D167" s="6" t="s">
        <v>55</v>
      </c>
      <c r="E167" s="7">
        <f t="shared" si="269"/>
        <v>0</v>
      </c>
      <c r="F167" s="7">
        <v>0</v>
      </c>
      <c r="G167" s="8">
        <f>[16]รายการสรุป!$J$15</f>
        <v>0</v>
      </c>
      <c r="H167" s="7">
        <f t="shared" si="270"/>
        <v>0</v>
      </c>
      <c r="I167" s="7" t="e">
        <f t="shared" si="271"/>
        <v>#DIV/0!</v>
      </c>
      <c r="J167" s="7">
        <v>0</v>
      </c>
      <c r="K167" s="7">
        <v>0</v>
      </c>
      <c r="L167" s="7">
        <f t="shared" si="272"/>
        <v>0</v>
      </c>
      <c r="M167" s="7" t="e">
        <f t="shared" si="273"/>
        <v>#DIV/0!</v>
      </c>
      <c r="N167" s="7">
        <v>0</v>
      </c>
      <c r="O167" s="7">
        <v>0</v>
      </c>
      <c r="P167" s="7">
        <f t="shared" si="274"/>
        <v>0</v>
      </c>
      <c r="Q167" s="7" t="e">
        <f t="shared" si="275"/>
        <v>#DIV/0!</v>
      </c>
      <c r="R167" s="7">
        <f t="shared" si="276"/>
        <v>0</v>
      </c>
      <c r="S167" s="7">
        <f t="shared" si="277"/>
        <v>0</v>
      </c>
      <c r="T167" s="1" t="s">
        <v>83</v>
      </c>
    </row>
    <row r="168" spans="1:20" ht="45" customHeight="1" x14ac:dyDescent="0.5">
      <c r="A168" s="15">
        <v>155</v>
      </c>
      <c r="B168" s="53" t="str">
        <f>[16]รายการสรุป!$E$16</f>
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</c>
      <c r="C168" s="24" t="str">
        <f>[16]รายการสรุป!$I$16</f>
        <v>0700338006410600</v>
      </c>
      <c r="D168" s="6" t="s">
        <v>55</v>
      </c>
      <c r="E168" s="7">
        <f t="shared" si="269"/>
        <v>0</v>
      </c>
      <c r="F168" s="7">
        <v>0</v>
      </c>
      <c r="G168" s="8">
        <f>[16]รายการสรุป!$J$16</f>
        <v>0</v>
      </c>
      <c r="H168" s="7">
        <f t="shared" si="270"/>
        <v>0</v>
      </c>
      <c r="I168" s="7" t="e">
        <f t="shared" si="271"/>
        <v>#DIV/0!</v>
      </c>
      <c r="J168" s="7">
        <v>0</v>
      </c>
      <c r="K168" s="7">
        <v>0</v>
      </c>
      <c r="L168" s="7">
        <f t="shared" si="272"/>
        <v>0</v>
      </c>
      <c r="M168" s="7" t="e">
        <f t="shared" si="273"/>
        <v>#DIV/0!</v>
      </c>
      <c r="N168" s="7">
        <v>0</v>
      </c>
      <c r="O168" s="7">
        <v>0</v>
      </c>
      <c r="P168" s="7">
        <f t="shared" si="274"/>
        <v>0</v>
      </c>
      <c r="Q168" s="7" t="e">
        <f t="shared" si="275"/>
        <v>#DIV/0!</v>
      </c>
      <c r="R168" s="7">
        <f t="shared" si="276"/>
        <v>0</v>
      </c>
      <c r="S168" s="7">
        <f t="shared" si="277"/>
        <v>0</v>
      </c>
      <c r="T168" s="1" t="s">
        <v>83</v>
      </c>
    </row>
    <row r="169" spans="1:20" ht="43.5" customHeight="1" x14ac:dyDescent="0.5">
      <c r="A169" s="15">
        <v>156</v>
      </c>
      <c r="B169" s="53" t="str">
        <f>[16]รายการสรุป!$E$17</f>
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</c>
      <c r="C169" s="24" t="str">
        <f>[16]รายการสรุป!$I$17</f>
        <v>0700338006410601</v>
      </c>
      <c r="D169" s="6" t="s">
        <v>55</v>
      </c>
      <c r="E169" s="7">
        <f t="shared" si="269"/>
        <v>0</v>
      </c>
      <c r="F169" s="7">
        <v>0</v>
      </c>
      <c r="G169" s="8">
        <f>[16]รายการสรุป!$J$17</f>
        <v>0</v>
      </c>
      <c r="H169" s="7">
        <f t="shared" si="270"/>
        <v>0</v>
      </c>
      <c r="I169" s="7" t="e">
        <f t="shared" si="271"/>
        <v>#DIV/0!</v>
      </c>
      <c r="J169" s="7">
        <v>0</v>
      </c>
      <c r="K169" s="7">
        <v>0</v>
      </c>
      <c r="L169" s="7">
        <f t="shared" si="272"/>
        <v>0</v>
      </c>
      <c r="M169" s="7" t="e">
        <f t="shared" si="273"/>
        <v>#DIV/0!</v>
      </c>
      <c r="N169" s="7">
        <v>0</v>
      </c>
      <c r="O169" s="7">
        <v>0</v>
      </c>
      <c r="P169" s="7">
        <f t="shared" si="274"/>
        <v>0</v>
      </c>
      <c r="Q169" s="7" t="e">
        <f t="shared" si="275"/>
        <v>#DIV/0!</v>
      </c>
      <c r="R169" s="7">
        <f t="shared" si="276"/>
        <v>0</v>
      </c>
      <c r="S169" s="7">
        <f t="shared" si="277"/>
        <v>0</v>
      </c>
      <c r="T169" s="1" t="s">
        <v>83</v>
      </c>
    </row>
    <row r="170" spans="1:20" ht="30" customHeight="1" x14ac:dyDescent="0.5">
      <c r="A170" s="15">
        <v>157</v>
      </c>
      <c r="B170" s="53" t="str">
        <f>[16]รายการสรุป!$E$18</f>
        <v>ซ่อมแซมบ้านพักคนงาน ฝ่ายช่างกล โครงการชลประทานเชียงราย ต.ห้วยสัก อ.เมืองเชียงราย จ.เชียงราย</v>
      </c>
      <c r="C170" s="24" t="str">
        <f>[16]รายการสรุป!$I$18</f>
        <v>0700338006410602</v>
      </c>
      <c r="D170" s="6" t="s">
        <v>55</v>
      </c>
      <c r="E170" s="7">
        <f t="shared" si="269"/>
        <v>0</v>
      </c>
      <c r="F170" s="7">
        <v>0</v>
      </c>
      <c r="G170" s="8">
        <f>[16]รายการสรุป!$J$18</f>
        <v>0</v>
      </c>
      <c r="H170" s="7">
        <f t="shared" si="270"/>
        <v>0</v>
      </c>
      <c r="I170" s="7" t="e">
        <f t="shared" si="271"/>
        <v>#DIV/0!</v>
      </c>
      <c r="J170" s="7">
        <v>0</v>
      </c>
      <c r="K170" s="7">
        <v>0</v>
      </c>
      <c r="L170" s="7">
        <f t="shared" si="272"/>
        <v>0</v>
      </c>
      <c r="M170" s="7" t="e">
        <f t="shared" si="273"/>
        <v>#DIV/0!</v>
      </c>
      <c r="N170" s="7">
        <v>0</v>
      </c>
      <c r="O170" s="7">
        <v>0</v>
      </c>
      <c r="P170" s="7">
        <f t="shared" si="274"/>
        <v>0</v>
      </c>
      <c r="Q170" s="7" t="e">
        <f t="shared" si="275"/>
        <v>#DIV/0!</v>
      </c>
      <c r="R170" s="7">
        <f t="shared" si="276"/>
        <v>0</v>
      </c>
      <c r="S170" s="7">
        <f t="shared" si="277"/>
        <v>0</v>
      </c>
      <c r="T170" s="1" t="s">
        <v>83</v>
      </c>
    </row>
    <row r="171" spans="1:20" ht="30" customHeight="1" x14ac:dyDescent="0.5">
      <c r="A171" s="15">
        <v>158</v>
      </c>
      <c r="B171" s="53" t="str">
        <f>[16]รายการสรุป!$E$19</f>
        <v>ซ่อมแซมลาดไหล่เขาถนนโครงการส่งน้ำและบำรุงรักษาแม่ลาว ต.ดงมะดะ อ.แม่ลาว จ.เชียงราย</v>
      </c>
      <c r="C171" s="24" t="str">
        <f>[16]รายการสรุป!$I$19</f>
        <v>0700338006410610</v>
      </c>
      <c r="D171" s="6" t="s">
        <v>55</v>
      </c>
      <c r="E171" s="7">
        <f t="shared" si="269"/>
        <v>61500</v>
      </c>
      <c r="F171" s="7">
        <v>0</v>
      </c>
      <c r="G171" s="8">
        <f>[16]รายการสรุป!$J$19</f>
        <v>61500</v>
      </c>
      <c r="H171" s="7">
        <f t="shared" si="270"/>
        <v>61345.399999999994</v>
      </c>
      <c r="I171" s="7">
        <f t="shared" si="271"/>
        <v>99.748617886178849</v>
      </c>
      <c r="J171" s="7">
        <v>0</v>
      </c>
      <c r="K171" s="7">
        <f>6480+20822.7+3385+1300+8535+20822.7</f>
        <v>61345.399999999994</v>
      </c>
      <c r="L171" s="7">
        <f t="shared" si="272"/>
        <v>0</v>
      </c>
      <c r="M171" s="7">
        <f t="shared" si="273"/>
        <v>0</v>
      </c>
      <c r="N171" s="7">
        <v>0</v>
      </c>
      <c r="O171" s="7">
        <v>0</v>
      </c>
      <c r="P171" s="7">
        <f t="shared" si="274"/>
        <v>154.60000000000582</v>
      </c>
      <c r="Q171" s="7">
        <f t="shared" si="275"/>
        <v>0.25138211382114767</v>
      </c>
      <c r="R171" s="7">
        <f t="shared" si="276"/>
        <v>0</v>
      </c>
      <c r="S171" s="7">
        <f t="shared" si="277"/>
        <v>154.60000000000582</v>
      </c>
    </row>
    <row r="172" spans="1:20" ht="36" customHeight="1" x14ac:dyDescent="0.5">
      <c r="A172" s="15">
        <v>159</v>
      </c>
      <c r="B172" s="53" t="str">
        <f>[16]รายการสรุป!$E$20</f>
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</c>
      <c r="C172" s="24" t="str">
        <f>[16]รายการสรุป!$I$20</f>
        <v>0700338006410611</v>
      </c>
      <c r="D172" s="6" t="s">
        <v>55</v>
      </c>
      <c r="E172" s="7">
        <f t="shared" si="269"/>
        <v>39000</v>
      </c>
      <c r="F172" s="7">
        <v>0</v>
      </c>
      <c r="G172" s="8">
        <f>[16]รายการสรุป!$J$20</f>
        <v>39000</v>
      </c>
      <c r="H172" s="7">
        <f t="shared" si="270"/>
        <v>38992.6</v>
      </c>
      <c r="I172" s="7">
        <f t="shared" si="271"/>
        <v>99.981025641025639</v>
      </c>
      <c r="J172" s="7">
        <v>0</v>
      </c>
      <c r="K172" s="7">
        <f>13881.8+13410.8+11700</f>
        <v>38992.6</v>
      </c>
      <c r="L172" s="7">
        <f t="shared" si="272"/>
        <v>0</v>
      </c>
      <c r="M172" s="7">
        <f t="shared" si="273"/>
        <v>0</v>
      </c>
      <c r="N172" s="7">
        <v>0</v>
      </c>
      <c r="O172" s="7">
        <v>0</v>
      </c>
      <c r="P172" s="7">
        <f t="shared" si="274"/>
        <v>7.4000000000014552</v>
      </c>
      <c r="Q172" s="7">
        <f t="shared" si="275"/>
        <v>1.8974358974362705E-2</v>
      </c>
      <c r="R172" s="7">
        <f t="shared" si="276"/>
        <v>0</v>
      </c>
      <c r="S172" s="7">
        <f t="shared" si="277"/>
        <v>7.4000000000014552</v>
      </c>
    </row>
    <row r="173" spans="1:20" ht="48" customHeight="1" x14ac:dyDescent="0.5">
      <c r="A173" s="15">
        <v>160</v>
      </c>
      <c r="B173" s="53" t="str">
        <f>[16]รายการสรุป!$E$21</f>
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</c>
      <c r="C173" s="24" t="str">
        <f>[16]รายการสรุป!$I$21</f>
        <v>0700338006410290</v>
      </c>
      <c r="D173" s="6" t="s">
        <v>55</v>
      </c>
      <c r="E173" s="7">
        <f t="shared" si="269"/>
        <v>53100</v>
      </c>
      <c r="F173" s="7">
        <v>0</v>
      </c>
      <c r="G173" s="8">
        <f>[16]รายการสรุป!$J$21</f>
        <v>53100</v>
      </c>
      <c r="H173" s="7">
        <f t="shared" si="270"/>
        <v>53100</v>
      </c>
      <c r="I173" s="7">
        <f t="shared" si="271"/>
        <v>100</v>
      </c>
      <c r="J173" s="7">
        <v>0</v>
      </c>
      <c r="K173" s="7">
        <f>4400+4640+13881.8+20018+8883+1277.2</f>
        <v>53100</v>
      </c>
      <c r="L173" s="7">
        <f t="shared" si="272"/>
        <v>0</v>
      </c>
      <c r="M173" s="7">
        <f t="shared" si="273"/>
        <v>0</v>
      </c>
      <c r="N173" s="7">
        <v>0</v>
      </c>
      <c r="O173" s="7">
        <v>0</v>
      </c>
      <c r="P173" s="7">
        <f t="shared" si="274"/>
        <v>0</v>
      </c>
      <c r="Q173" s="7">
        <f t="shared" si="275"/>
        <v>0</v>
      </c>
      <c r="R173" s="7">
        <f t="shared" si="276"/>
        <v>0</v>
      </c>
      <c r="S173" s="7">
        <f t="shared" si="277"/>
        <v>0</v>
      </c>
    </row>
    <row r="174" spans="1:20" ht="45.75" customHeight="1" x14ac:dyDescent="0.5">
      <c r="A174" s="15">
        <v>161</v>
      </c>
      <c r="B174" s="53" t="str">
        <f>[16]รายการสรุป!$E$22</f>
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</c>
      <c r="C174" s="24" t="str">
        <f>[16]รายการสรุป!$I$22</f>
        <v>0700338006410613</v>
      </c>
      <c r="D174" s="6" t="s">
        <v>55</v>
      </c>
      <c r="E174" s="7">
        <f t="shared" si="269"/>
        <v>64000</v>
      </c>
      <c r="F174" s="7">
        <v>0</v>
      </c>
      <c r="G174" s="8">
        <f>[16]รายการสรุป!$J$22</f>
        <v>64000</v>
      </c>
      <c r="H174" s="7">
        <f t="shared" si="270"/>
        <v>63855</v>
      </c>
      <c r="I174" s="7">
        <f t="shared" si="271"/>
        <v>99.7734375</v>
      </c>
      <c r="J174" s="7">
        <v>0</v>
      </c>
      <c r="K174" s="7">
        <f>63855</f>
        <v>63855</v>
      </c>
      <c r="L174" s="7">
        <f t="shared" si="272"/>
        <v>0</v>
      </c>
      <c r="M174" s="7">
        <f t="shared" si="273"/>
        <v>0</v>
      </c>
      <c r="N174" s="7">
        <v>0</v>
      </c>
      <c r="O174" s="7">
        <v>0</v>
      </c>
      <c r="P174" s="7">
        <f t="shared" si="274"/>
        <v>145</v>
      </c>
      <c r="Q174" s="7">
        <f t="shared" si="275"/>
        <v>0.2265625</v>
      </c>
      <c r="R174" s="7">
        <f t="shared" si="276"/>
        <v>0</v>
      </c>
      <c r="S174" s="7">
        <f t="shared" si="277"/>
        <v>145</v>
      </c>
    </row>
    <row r="175" spans="1:20" ht="59.25" customHeight="1" x14ac:dyDescent="0.5">
      <c r="A175" s="15">
        <v>162</v>
      </c>
      <c r="B175" s="53" t="str">
        <f>[16]รายการสรุป!$E$23</f>
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</c>
      <c r="C175" s="24" t="str">
        <f>[16]รายการสรุป!$I$23</f>
        <v>0700338006410291</v>
      </c>
      <c r="D175" s="6" t="s">
        <v>55</v>
      </c>
      <c r="E175" s="7">
        <f t="shared" si="269"/>
        <v>45000</v>
      </c>
      <c r="F175" s="7">
        <v>0</v>
      </c>
      <c r="G175" s="8">
        <f>[16]รายการสรุป!$J$23</f>
        <v>45000</v>
      </c>
      <c r="H175" s="7">
        <f t="shared" si="270"/>
        <v>44960</v>
      </c>
      <c r="I175" s="7">
        <f t="shared" si="271"/>
        <v>99.911111111111111</v>
      </c>
      <c r="J175" s="7">
        <v>0</v>
      </c>
      <c r="K175" s="7">
        <f>8000+30000+1280+3600+2080</f>
        <v>44960</v>
      </c>
      <c r="L175" s="7">
        <f t="shared" si="272"/>
        <v>0</v>
      </c>
      <c r="M175" s="7">
        <f t="shared" si="273"/>
        <v>0</v>
      </c>
      <c r="N175" s="7">
        <v>0</v>
      </c>
      <c r="O175" s="7">
        <v>0</v>
      </c>
      <c r="P175" s="7">
        <f t="shared" si="274"/>
        <v>40</v>
      </c>
      <c r="Q175" s="7">
        <f t="shared" si="275"/>
        <v>8.8888888888888892E-2</v>
      </c>
      <c r="R175" s="7">
        <f t="shared" si="276"/>
        <v>0</v>
      </c>
      <c r="S175" s="7">
        <f t="shared" si="277"/>
        <v>40</v>
      </c>
    </row>
    <row r="176" spans="1:20" ht="46.5" customHeight="1" x14ac:dyDescent="0.5">
      <c r="A176" s="15">
        <v>163</v>
      </c>
      <c r="B176" s="53" t="str">
        <f>[16]รายการสรุป!$E$24</f>
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</c>
      <c r="C176" s="24" t="str">
        <f>[16]รายการสรุป!$I$24</f>
        <v>0700338006410614</v>
      </c>
      <c r="D176" s="6" t="s">
        <v>55</v>
      </c>
      <c r="E176" s="7">
        <f t="shared" si="269"/>
        <v>39900</v>
      </c>
      <c r="F176" s="7">
        <v>0</v>
      </c>
      <c r="G176" s="8">
        <f>[16]รายการสรุป!$J$24</f>
        <v>39900</v>
      </c>
      <c r="H176" s="7">
        <f t="shared" si="270"/>
        <v>38049.9</v>
      </c>
      <c r="I176" s="7">
        <f t="shared" si="271"/>
        <v>95.363157894736844</v>
      </c>
      <c r="J176" s="7">
        <v>0</v>
      </c>
      <c r="K176" s="7">
        <f>13881.8+12608.1+9340+2220</f>
        <v>38049.9</v>
      </c>
      <c r="L176" s="7">
        <f t="shared" si="272"/>
        <v>0</v>
      </c>
      <c r="M176" s="7">
        <f t="shared" si="273"/>
        <v>0</v>
      </c>
      <c r="N176" s="7">
        <v>0</v>
      </c>
      <c r="O176" s="7">
        <v>0</v>
      </c>
      <c r="P176" s="7">
        <f t="shared" si="274"/>
        <v>1850.0999999999985</v>
      </c>
      <c r="Q176" s="7">
        <f t="shared" si="275"/>
        <v>4.6368421052631543</v>
      </c>
      <c r="R176" s="7">
        <f t="shared" si="276"/>
        <v>0</v>
      </c>
      <c r="S176" s="7">
        <f t="shared" si="277"/>
        <v>1850.0999999999985</v>
      </c>
    </row>
    <row r="177" spans="1:20" ht="48.75" customHeight="1" x14ac:dyDescent="0.5">
      <c r="A177" s="15">
        <v>164</v>
      </c>
      <c r="B177" s="53" t="str">
        <f>[17]รายการสรุป!$E$5</f>
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</c>
      <c r="C177" s="24" t="str">
        <f>[17]รายการสรุป!$I$5</f>
        <v>0700338006410615</v>
      </c>
      <c r="D177" s="6" t="s">
        <v>55</v>
      </c>
      <c r="E177" s="7">
        <f t="shared" si="269"/>
        <v>27000</v>
      </c>
      <c r="F177" s="7">
        <v>0</v>
      </c>
      <c r="G177" s="8">
        <f>[17]รายการสรุป!$J$5</f>
        <v>27000</v>
      </c>
      <c r="H177" s="7">
        <f t="shared" si="270"/>
        <v>26771.8</v>
      </c>
      <c r="I177" s="7">
        <f t="shared" si="271"/>
        <v>99.154814814814813</v>
      </c>
      <c r="J177" s="7">
        <v>0</v>
      </c>
      <c r="K177" s="7">
        <f>1280+13881.8+4410+4400+2320+480</f>
        <v>26771.8</v>
      </c>
      <c r="L177" s="7">
        <f t="shared" si="272"/>
        <v>0</v>
      </c>
      <c r="M177" s="7">
        <f t="shared" si="273"/>
        <v>0</v>
      </c>
      <c r="N177" s="7">
        <v>0</v>
      </c>
      <c r="O177" s="7">
        <v>0</v>
      </c>
      <c r="P177" s="7">
        <f t="shared" si="274"/>
        <v>228.20000000000073</v>
      </c>
      <c r="Q177" s="7">
        <f t="shared" si="275"/>
        <v>0.84518518518518793</v>
      </c>
      <c r="R177" s="7">
        <f t="shared" si="276"/>
        <v>0</v>
      </c>
      <c r="S177" s="7">
        <f t="shared" si="277"/>
        <v>228.20000000000073</v>
      </c>
    </row>
    <row r="178" spans="1:20" ht="30" customHeight="1" x14ac:dyDescent="0.5">
      <c r="A178" s="15">
        <v>165</v>
      </c>
      <c r="B178" s="53" t="str">
        <f>[17]รายการสรุป!$E$6</f>
        <v>ซ่อมแซมคลังน้ำมันโครงการส่งน้ำและบำรุงรักษาแม่ลาว ต.ดงมะดะ อ.แม่ลาว จ.เชียงราย</v>
      </c>
      <c r="C178" s="24" t="str">
        <f>[17]รายการสรุป!$I$6</f>
        <v>0700338006410293</v>
      </c>
      <c r="D178" s="6" t="s">
        <v>55</v>
      </c>
      <c r="E178" s="7">
        <f t="shared" si="269"/>
        <v>30000</v>
      </c>
      <c r="F178" s="7">
        <v>0</v>
      </c>
      <c r="G178" s="8">
        <f>[17]รายการสรุป!$J$6</f>
        <v>30000</v>
      </c>
      <c r="H178" s="7">
        <f t="shared" si="270"/>
        <v>30000</v>
      </c>
      <c r="I178" s="7">
        <f t="shared" si="271"/>
        <v>100</v>
      </c>
      <c r="J178" s="7">
        <v>0</v>
      </c>
      <c r="K178" s="7">
        <f>2320+3360+6960+15840+1520</f>
        <v>30000</v>
      </c>
      <c r="L178" s="7">
        <f t="shared" si="272"/>
        <v>0</v>
      </c>
      <c r="M178" s="7">
        <f t="shared" si="273"/>
        <v>0</v>
      </c>
      <c r="N178" s="7">
        <v>0</v>
      </c>
      <c r="O178" s="7">
        <v>0</v>
      </c>
      <c r="P178" s="7">
        <f t="shared" si="274"/>
        <v>0</v>
      </c>
      <c r="Q178" s="7">
        <f t="shared" si="275"/>
        <v>0</v>
      </c>
      <c r="R178" s="7">
        <f t="shared" si="276"/>
        <v>0</v>
      </c>
      <c r="S178" s="7">
        <f t="shared" si="277"/>
        <v>0</v>
      </c>
    </row>
    <row r="179" spans="1:20" ht="30" customHeight="1" x14ac:dyDescent="0.5">
      <c r="A179" s="15">
        <v>166</v>
      </c>
      <c r="B179" s="53" t="str">
        <f>[17]รายการสรุป!$E$7</f>
        <v>ซ่อมแซมฝายท้าวแก่นจันทร์โครงการส่งน้ำและบำรุงรักษาแม่ลาว จ.เชียงราย</v>
      </c>
      <c r="C179" s="24" t="str">
        <f>[17]รายการสรุป!$I$7</f>
        <v>0700338006420010</v>
      </c>
      <c r="D179" s="6" t="s">
        <v>74</v>
      </c>
      <c r="E179" s="7">
        <f t="shared" ref="E179" si="278">F179+G179</f>
        <v>360900</v>
      </c>
      <c r="F179" s="7">
        <v>0</v>
      </c>
      <c r="G179" s="8">
        <f>[17]รายการสรุป!$J$7</f>
        <v>360900</v>
      </c>
      <c r="H179" s="7">
        <f t="shared" ref="H179" si="279">J179+K179</f>
        <v>180402.40000000002</v>
      </c>
      <c r="I179" s="7">
        <f t="shared" ref="I179" si="280">H179*100/E179</f>
        <v>49.986810750900538</v>
      </c>
      <c r="J179" s="7">
        <v>0</v>
      </c>
      <c r="K179" s="7">
        <f>12618+10360+4640+12618+27720+10232+5957+6145+2320+7020+2800+14512.7+30020+18927+14512.7</f>
        <v>180402.40000000002</v>
      </c>
      <c r="L179" s="7">
        <f t="shared" ref="L179" si="281">N179+O179</f>
        <v>0</v>
      </c>
      <c r="M179" s="7">
        <f t="shared" ref="M179" si="282">L179*100/E179</f>
        <v>0</v>
      </c>
      <c r="N179" s="7">
        <v>0</v>
      </c>
      <c r="O179" s="7">
        <v>0</v>
      </c>
      <c r="P179" s="7">
        <f t="shared" ref="P179" si="283">R179+S179</f>
        <v>180497.59999999998</v>
      </c>
      <c r="Q179" s="7">
        <f t="shared" ref="Q179" si="284">P179*100/E179</f>
        <v>50.013189249099462</v>
      </c>
      <c r="R179" s="7">
        <f t="shared" ref="R179" si="285">F179-J179-N179</f>
        <v>0</v>
      </c>
      <c r="S179" s="7">
        <f t="shared" ref="S179" si="286">G179-K179-O179</f>
        <v>180497.59999999998</v>
      </c>
    </row>
    <row r="180" spans="1:20" ht="30" customHeight="1" x14ac:dyDescent="0.5">
      <c r="A180" s="15"/>
      <c r="B180" s="48" t="s">
        <v>53</v>
      </c>
      <c r="C180" s="63"/>
      <c r="D180" s="63"/>
      <c r="E180" s="49">
        <f t="shared" ref="E180:E181" si="287">F180+G180</f>
        <v>7794400</v>
      </c>
      <c r="F180" s="49">
        <f>SUM(F182:F183)</f>
        <v>0</v>
      </c>
      <c r="G180" s="49">
        <f>SUM(G181:G183)</f>
        <v>7794400</v>
      </c>
      <c r="H180" s="49">
        <f>J180+K180</f>
        <v>6229572.9499999993</v>
      </c>
      <c r="I180" s="49">
        <f>H180*100/E180</f>
        <v>79.923700990454677</v>
      </c>
      <c r="J180" s="49">
        <f>SUM(J181:J182)</f>
        <v>0</v>
      </c>
      <c r="K180" s="49">
        <f>SUM(K181:K183)</f>
        <v>6229572.9499999993</v>
      </c>
      <c r="L180" s="49">
        <f>N180+O180</f>
        <v>0</v>
      </c>
      <c r="M180" s="48"/>
      <c r="N180" s="49">
        <f>SUM(N181:N182)</f>
        <v>0</v>
      </c>
      <c r="O180" s="49">
        <f>SUM(O181:O183)</f>
        <v>0</v>
      </c>
      <c r="P180" s="49">
        <f>R180+S180</f>
        <v>1564827.0500000007</v>
      </c>
      <c r="Q180" s="49">
        <f t="shared" si="257"/>
        <v>20.076299009545323</v>
      </c>
      <c r="R180" s="49">
        <f>SUM(R182:R205)</f>
        <v>0</v>
      </c>
      <c r="S180" s="49">
        <f>G180-K180-O180</f>
        <v>1564827.0500000007</v>
      </c>
      <c r="T180" s="26">
        <f>I180+M180+Q180</f>
        <v>100</v>
      </c>
    </row>
    <row r="181" spans="1:20" ht="30" customHeight="1" x14ac:dyDescent="0.5">
      <c r="A181" s="15">
        <v>167</v>
      </c>
      <c r="B181" s="53" t="str">
        <f>[18]รายการสรุป!$E$5</f>
        <v>ค่าศึกษา</v>
      </c>
      <c r="C181" s="24" t="str">
        <f>[18]รายการสรุป!$I$5</f>
        <v>0700338006410035</v>
      </c>
      <c r="D181" s="6" t="s">
        <v>54</v>
      </c>
      <c r="E181" s="7">
        <f t="shared" si="287"/>
        <v>2225000</v>
      </c>
      <c r="F181" s="7">
        <v>0</v>
      </c>
      <c r="G181" s="8">
        <f>[18]รายการสรุป!$J$5</f>
        <v>2225000</v>
      </c>
      <c r="H181" s="7">
        <f t="shared" ref="H181" si="288">J181+K181</f>
        <v>1651991.7799999996</v>
      </c>
      <c r="I181" s="7">
        <f t="shared" ref="I181" si="289">H181*100/E181</f>
        <v>74.246821573033699</v>
      </c>
      <c r="J181" s="7">
        <v>0</v>
      </c>
      <c r="K181" s="7">
        <f>65007+1280+6400+94230+9469+3396.8+9964+25520+5650+99980+10271+4640+58181.95+52272+32400+2801.8+6714+20000+2320-73.9+6006+56853+54399+49967+12495.2+6150+47272+45324-3874+7636.6+17639.9+17512.69+37999+1280+3412+12591+7781+25004+51570+29985+7642.3+2839.05+46252+50160+3217.4+720+10080+39786.35+34640+46109.4+3600+33840+46379.66+4002.7+25013+16240+12650+45261+13460+22850+20803.15+4804.5+7130.1+10306+3244+1636.03+78828.15+13200+45166.8+4703.15</f>
        <v>1651991.7799999996</v>
      </c>
      <c r="L181" s="7">
        <f t="shared" ref="L181" si="290">N181+O181</f>
        <v>0</v>
      </c>
      <c r="M181" s="7">
        <f t="shared" ref="M181" si="291">L181*100/E181</f>
        <v>0</v>
      </c>
      <c r="N181" s="7">
        <v>0</v>
      </c>
      <c r="O181" s="7">
        <v>0</v>
      </c>
      <c r="P181" s="7">
        <f t="shared" ref="P181" si="292">R181+S181</f>
        <v>573008.22000000044</v>
      </c>
      <c r="Q181" s="7">
        <f t="shared" ref="Q181" si="293">P181*100/E181</f>
        <v>25.753178426966311</v>
      </c>
      <c r="R181" s="7">
        <f t="shared" ref="R181" si="294">F181-J181-N181</f>
        <v>0</v>
      </c>
      <c r="S181" s="7">
        <f t="shared" ref="S181" si="295">G181-K181-O181</f>
        <v>573008.22000000044</v>
      </c>
    </row>
    <row r="182" spans="1:20" ht="30" customHeight="1" x14ac:dyDescent="0.5">
      <c r="A182" s="15">
        <v>168</v>
      </c>
      <c r="B182" s="53" t="str">
        <f>[18]รายการสรุป!$E$6</f>
        <v>ค่าสำรวจ</v>
      </c>
      <c r="C182" s="24" t="str">
        <f>[18]รายการสรุป!$I$6</f>
        <v>0700338006410035</v>
      </c>
      <c r="D182" s="6" t="s">
        <v>54</v>
      </c>
      <c r="E182" s="7">
        <f t="shared" ref="E182:E185" si="296">F182+G182</f>
        <v>3034400</v>
      </c>
      <c r="F182" s="7">
        <v>0</v>
      </c>
      <c r="G182" s="8">
        <f>[18]รายการสรุป!$J$6</f>
        <v>3034400</v>
      </c>
      <c r="H182" s="7">
        <f t="shared" ref="H182" si="297">J182+K182</f>
        <v>2470979.5699999998</v>
      </c>
      <c r="I182" s="7">
        <f t="shared" ref="I182" si="298">H182*100/E182</f>
        <v>81.432229435802782</v>
      </c>
      <c r="J182" s="7">
        <v>0</v>
      </c>
      <c r="K182" s="7">
        <f>240+5666+269990.8+26900+3350+27630+237148.9+77061.6+14897+33480+8665+31302.01+232731.6+84002.5+3360+3360+8400+16480+46152+9100+31140+294790+11340+4644+6112+53343+9400+3360+21410+339046.35+11388+10080+3360+34650+15000+4600+82350+1300+128124+44400+6647.61+26460+13500+10500+4680+4940+3194+147045.2+4258</f>
        <v>2470979.5699999998</v>
      </c>
      <c r="L182" s="7">
        <f t="shared" ref="L182" si="299">N182+O182</f>
        <v>0</v>
      </c>
      <c r="M182" s="7">
        <f t="shared" ref="M182" si="300">L182*100/E182</f>
        <v>0</v>
      </c>
      <c r="N182" s="7">
        <v>0</v>
      </c>
      <c r="O182" s="7">
        <v>0</v>
      </c>
      <c r="P182" s="7">
        <f t="shared" ref="P182" si="301">R182+S182</f>
        <v>563420.43000000017</v>
      </c>
      <c r="Q182" s="7">
        <f t="shared" ref="Q182:Q185" si="302">P182*100/E182</f>
        <v>18.567770564197211</v>
      </c>
      <c r="R182" s="7">
        <f t="shared" ref="R182" si="303">F182-J182-N182</f>
        <v>0</v>
      </c>
      <c r="S182" s="7">
        <f t="shared" ref="S182" si="304">G182-K182-O182</f>
        <v>563420.43000000017</v>
      </c>
    </row>
    <row r="183" spans="1:20" ht="30" customHeight="1" x14ac:dyDescent="0.5">
      <c r="A183" s="15">
        <v>169</v>
      </c>
      <c r="B183" s="53" t="s">
        <v>84</v>
      </c>
      <c r="C183" s="24" t="str">
        <f>[18]รายการสรุป!$I$7</f>
        <v>0700338006410035</v>
      </c>
      <c r="D183" s="6" t="s">
        <v>85</v>
      </c>
      <c r="E183" s="7">
        <f t="shared" ref="E183" si="305">F183+G183</f>
        <v>2535000</v>
      </c>
      <c r="F183" s="7">
        <v>0</v>
      </c>
      <c r="G183" s="8">
        <f>[18]รายการสรุป!$J$7</f>
        <v>2535000</v>
      </c>
      <c r="H183" s="7">
        <f t="shared" ref="H183" si="306">J183+K183</f>
        <v>2106601.6</v>
      </c>
      <c r="I183" s="7">
        <f t="shared" ref="I183" si="307">H183*100/E183</f>
        <v>83.100654832347146</v>
      </c>
      <c r="J183" s="7">
        <v>0</v>
      </c>
      <c r="K183" s="7">
        <f>67537+4492+11652+60808.6+19202+71978+21764+99600+55000+99890+40826+67117.6+38612+75132.6+14194+36260+17244+29089+12212+61587+38276+75246.95+13440+99300+39656+23634+11340+28400+17400+78083.6+50879.2+35210+82169.4+11852+15184+9160+67232+67896+45022+4486+19388+83070.3+5120+10624+18852+78083.6+37218+45873.25+78707.5+11600</f>
        <v>2106601.6</v>
      </c>
      <c r="L183" s="7">
        <f t="shared" ref="L183" si="308">N183+O183</f>
        <v>0</v>
      </c>
      <c r="M183" s="7">
        <f t="shared" ref="M183" si="309">L183*100/E183</f>
        <v>0</v>
      </c>
      <c r="N183" s="7">
        <v>0</v>
      </c>
      <c r="O183" s="7">
        <v>0</v>
      </c>
      <c r="P183" s="7">
        <f t="shared" ref="P183" si="310">R183+S183</f>
        <v>428398.39999999991</v>
      </c>
      <c r="Q183" s="7">
        <f t="shared" ref="Q183" si="311">P183*100/E183</f>
        <v>16.899345167652857</v>
      </c>
      <c r="R183" s="7">
        <f t="shared" ref="R183" si="312">F183-J183-N183</f>
        <v>0</v>
      </c>
      <c r="S183" s="7">
        <f t="shared" ref="S183" si="313">G183-K183-O183</f>
        <v>428398.39999999991</v>
      </c>
    </row>
    <row r="184" spans="1:20" ht="30" customHeight="1" x14ac:dyDescent="0.5">
      <c r="A184" s="15"/>
      <c r="B184" s="48" t="s">
        <v>62</v>
      </c>
      <c r="C184" s="63"/>
      <c r="D184" s="63"/>
      <c r="E184" s="49">
        <f t="shared" si="296"/>
        <v>3910800</v>
      </c>
      <c r="F184" s="49">
        <f>SUM(F185:F192)</f>
        <v>0</v>
      </c>
      <c r="G184" s="49">
        <f>SUM(G185:G192)</f>
        <v>3910800</v>
      </c>
      <c r="H184" s="49">
        <f>J184+K184</f>
        <v>3883492.8499999996</v>
      </c>
      <c r="I184" s="49">
        <f>H184*100/E184</f>
        <v>99.301750281272362</v>
      </c>
      <c r="J184" s="49">
        <f>SUM(J185:J186)</f>
        <v>0</v>
      </c>
      <c r="K184" s="49">
        <f>SUM(K185:K192)</f>
        <v>3883492.8499999996</v>
      </c>
      <c r="L184" s="49">
        <f>N184+O184</f>
        <v>0</v>
      </c>
      <c r="M184" s="48"/>
      <c r="N184" s="49">
        <f>SUM(N185:N186)</f>
        <v>0</v>
      </c>
      <c r="O184" s="49">
        <f>SUM(O185:O192)</f>
        <v>0</v>
      </c>
      <c r="P184" s="49">
        <f>R184+S184</f>
        <v>27307.150000000373</v>
      </c>
      <c r="Q184" s="49">
        <f t="shared" si="302"/>
        <v>0.69824971872763564</v>
      </c>
      <c r="R184" s="49">
        <f>SUM(R186:R210)</f>
        <v>0</v>
      </c>
      <c r="S184" s="49">
        <f>G184-K184-O184</f>
        <v>27307.150000000373</v>
      </c>
      <c r="T184" s="26">
        <f>I184+M184+Q184</f>
        <v>100</v>
      </c>
    </row>
    <row r="185" spans="1:20" ht="38.25" customHeight="1" x14ac:dyDescent="0.5">
      <c r="A185" s="15">
        <v>170</v>
      </c>
      <c r="B185" s="53" t="str">
        <f>[19]รายการสรุป!$E$5</f>
        <v>โครงการระบบส่งน้ำอ่างเก็บน้ำดอยงู จ.เชียงราย (งานปักหลักเขตชลประทาน)</v>
      </c>
      <c r="C185" s="24" t="str">
        <f>[19]รายการสรุป!$I$5</f>
        <v>0700338006200011</v>
      </c>
      <c r="D185" s="6" t="s">
        <v>63</v>
      </c>
      <c r="E185" s="7">
        <f t="shared" si="296"/>
        <v>365000</v>
      </c>
      <c r="F185" s="7">
        <v>0</v>
      </c>
      <c r="G185" s="8">
        <f>[19]รายการสรุป!$J$5</f>
        <v>365000</v>
      </c>
      <c r="H185" s="7">
        <f t="shared" ref="H185" si="314">J185+K185</f>
        <v>364999.6</v>
      </c>
      <c r="I185" s="7">
        <f t="shared" ref="I185" si="315">H185*100/E185</f>
        <v>99.999890410958898</v>
      </c>
      <c r="J185" s="7">
        <v>0</v>
      </c>
      <c r="K185" s="7">
        <f>12768+9839.1+5130+16185+3920+140484+99148.5+62160+15365</f>
        <v>364999.6</v>
      </c>
      <c r="L185" s="7">
        <f t="shared" ref="L185" si="316">N185+O185</f>
        <v>0</v>
      </c>
      <c r="M185" s="7">
        <f t="shared" ref="M185" si="317">L185*100/E185</f>
        <v>0</v>
      </c>
      <c r="N185" s="7">
        <v>0</v>
      </c>
      <c r="O185" s="7">
        <v>0</v>
      </c>
      <c r="P185" s="7">
        <f t="shared" ref="P185" si="318">R185+S185</f>
        <v>0.40000000002328306</v>
      </c>
      <c r="Q185" s="7">
        <f t="shared" si="302"/>
        <v>1.0958904110226933E-4</v>
      </c>
      <c r="R185" s="7">
        <f t="shared" ref="R185" si="319">F185-J185-N185</f>
        <v>0</v>
      </c>
      <c r="S185" s="7">
        <f t="shared" ref="S185" si="320">G185-K185-O185</f>
        <v>0.40000000002328306</v>
      </c>
    </row>
    <row r="186" spans="1:20" ht="39" customHeight="1" x14ac:dyDescent="0.5">
      <c r="A186" s="15">
        <v>171</v>
      </c>
      <c r="B186" s="53" t="str">
        <f>[19]รายการสรุป!$E$6</f>
        <v>โครงการชลประทานลำปาง(อ่างเก็บน้ำแม่พริกผาวิ่งชู้ จ.ลำปาง (งานซ่อมเขตชลประทาน)</v>
      </c>
      <c r="C186" s="24" t="str">
        <f>[19]รายการสรุป!$I$6</f>
        <v>0700338006200011</v>
      </c>
      <c r="D186" s="6" t="s">
        <v>63</v>
      </c>
      <c r="E186" s="7">
        <f t="shared" ref="E186" si="321">F186+G186</f>
        <v>440000</v>
      </c>
      <c r="F186" s="7">
        <v>0</v>
      </c>
      <c r="G186" s="8">
        <f>[19]รายการสรุป!$J$6</f>
        <v>440000</v>
      </c>
      <c r="H186" s="7">
        <f t="shared" ref="H186" si="322">J186+K186</f>
        <v>439999.4</v>
      </c>
      <c r="I186" s="7">
        <f t="shared" ref="I186" si="323">H186*100/E186</f>
        <v>99.999863636363642</v>
      </c>
      <c r="J186" s="7">
        <v>0</v>
      </c>
      <c r="K186" s="7">
        <f>197359.4+126189+70392+15000+6480+19665+4900+14</f>
        <v>439999.4</v>
      </c>
      <c r="L186" s="7">
        <f t="shared" ref="L186" si="324">N186+O186</f>
        <v>0</v>
      </c>
      <c r="M186" s="7">
        <f t="shared" ref="M186" si="325">L186*100/E186</f>
        <v>0</v>
      </c>
      <c r="N186" s="7">
        <v>0</v>
      </c>
      <c r="O186" s="7">
        <v>0</v>
      </c>
      <c r="P186" s="7">
        <f t="shared" ref="P186" si="326">R186+S186</f>
        <v>0.59999999997671694</v>
      </c>
      <c r="Q186" s="7">
        <f t="shared" ref="Q186" si="327">P186*100/E186</f>
        <v>1.3636363635834476E-4</v>
      </c>
      <c r="R186" s="7">
        <f t="shared" ref="R186" si="328">F186-J186-N186</f>
        <v>0</v>
      </c>
      <c r="S186" s="7">
        <f t="shared" ref="S186" si="329">G186-K186-O186</f>
        <v>0.59999999997671694</v>
      </c>
    </row>
    <row r="187" spans="1:20" ht="36.75" customHeight="1" x14ac:dyDescent="0.5">
      <c r="A187" s="15">
        <v>172</v>
      </c>
      <c r="B187" s="53" t="str">
        <f>[19]รายการสรุป!$E$7</f>
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</c>
      <c r="C187" s="24" t="str">
        <f>[19]รายการสรุป!$I$7</f>
        <v>0700338006200011</v>
      </c>
      <c r="D187" s="6" t="s">
        <v>79</v>
      </c>
      <c r="E187" s="7">
        <f t="shared" ref="E187" si="330">F187+G187</f>
        <v>208200</v>
      </c>
      <c r="F187" s="7">
        <v>0</v>
      </c>
      <c r="G187" s="8">
        <f>[19]รายการสรุป!$J$7</f>
        <v>208200</v>
      </c>
      <c r="H187" s="7">
        <f t="shared" ref="H187" si="331">J187+K187</f>
        <v>205473.1</v>
      </c>
      <c r="I187" s="7">
        <f t="shared" ref="I187" si="332">H187*100/E187</f>
        <v>98.690249759846296</v>
      </c>
      <c r="J187" s="7">
        <v>0</v>
      </c>
      <c r="K187" s="7">
        <f>123350+7740.1+49140+3915+2940+12020+1248+1280+1280+2560</f>
        <v>205473.1</v>
      </c>
      <c r="L187" s="7">
        <f t="shared" ref="L187" si="333">N187+O187</f>
        <v>0</v>
      </c>
      <c r="M187" s="7">
        <f t="shared" ref="M187" si="334">L187*100/E187</f>
        <v>0</v>
      </c>
      <c r="N187" s="7">
        <v>0</v>
      </c>
      <c r="O187" s="7">
        <v>0</v>
      </c>
      <c r="P187" s="7">
        <f t="shared" ref="P187" si="335">R187+S187</f>
        <v>2726.8999999999942</v>
      </c>
      <c r="Q187" s="7">
        <f t="shared" ref="Q187" si="336">P187*100/E187</f>
        <v>1.3097502401536956</v>
      </c>
      <c r="R187" s="7">
        <f t="shared" ref="R187" si="337">F187-J187-N187</f>
        <v>0</v>
      </c>
      <c r="S187" s="7">
        <f t="shared" ref="S187" si="338">G187-K187-O187</f>
        <v>2726.8999999999942</v>
      </c>
    </row>
    <row r="188" spans="1:20" ht="37.5" customHeight="1" x14ac:dyDescent="0.5">
      <c r="A188" s="15">
        <v>173</v>
      </c>
      <c r="B188" s="53" t="str">
        <f>[19]รายการสรุป!$E$8</f>
        <v>โครงการชลประทานเชียงราย(ฝายถ้ำวอก,อ่างฯห้วยช้างและอ่างฯห้วยปล้อง (งานซ่อมเขตชลประทาน)</v>
      </c>
      <c r="C188" s="24" t="str">
        <f>[19]รายการสรุป!$I$8</f>
        <v>0700338006200011</v>
      </c>
      <c r="D188" s="6" t="s">
        <v>79</v>
      </c>
      <c r="E188" s="7">
        <f t="shared" ref="E188:E193" si="339">F188+G188</f>
        <v>630000</v>
      </c>
      <c r="F188" s="7">
        <v>0</v>
      </c>
      <c r="G188" s="8">
        <f>[19]รายการสรุป!$J$8</f>
        <v>630000</v>
      </c>
      <c r="H188" s="7">
        <f t="shared" ref="H188:H189" si="340">J188+K188</f>
        <v>629999.5</v>
      </c>
      <c r="I188" s="7">
        <f t="shared" ref="I188:I189" si="341">H188*100/E188</f>
        <v>99.999920634920642</v>
      </c>
      <c r="J188" s="7">
        <v>0</v>
      </c>
      <c r="K188" s="7">
        <f>15480.2+27045+8775+6860+2012+271406.8+117180+147220.5+34020</f>
        <v>629999.5</v>
      </c>
      <c r="L188" s="7">
        <f t="shared" ref="L188:L189" si="342">N188+O188</f>
        <v>0</v>
      </c>
      <c r="M188" s="7">
        <f t="shared" ref="M188:M189" si="343">L188*100/E188</f>
        <v>0</v>
      </c>
      <c r="N188" s="7">
        <v>0</v>
      </c>
      <c r="O188" s="7">
        <v>0</v>
      </c>
      <c r="P188" s="7">
        <f t="shared" ref="P188:P189" si="344">R188+S188</f>
        <v>0.5</v>
      </c>
      <c r="Q188" s="7">
        <f t="shared" ref="Q188:Q193" si="345">P188*100/E188</f>
        <v>7.9365079365079365E-5</v>
      </c>
      <c r="R188" s="7">
        <f t="shared" ref="R188:R189" si="346">F188-J188-N188</f>
        <v>0</v>
      </c>
      <c r="S188" s="7">
        <f t="shared" ref="S188:S189" si="347">G188-K188-O188</f>
        <v>0.5</v>
      </c>
    </row>
    <row r="189" spans="1:20" ht="29.25" customHeight="1" x14ac:dyDescent="0.5">
      <c r="A189" s="15">
        <v>174</v>
      </c>
      <c r="B189" s="53" t="str">
        <f>[19]รายการสรุป!$E$9</f>
        <v>โครงการส่งน้ำและบำรุงรักษาแม่วัง (งานซ่อมเขตชลประทาน)</v>
      </c>
      <c r="C189" s="24" t="str">
        <f>[19]รายการสรุป!$I$9</f>
        <v>0700338006200011</v>
      </c>
      <c r="D189" s="6" t="s">
        <v>79</v>
      </c>
      <c r="E189" s="7">
        <f t="shared" si="339"/>
        <v>828000</v>
      </c>
      <c r="F189" s="7">
        <v>0</v>
      </c>
      <c r="G189" s="8">
        <f>[19]รายการสรุป!$J$9</f>
        <v>828000</v>
      </c>
      <c r="H189" s="7">
        <f t="shared" si="340"/>
        <v>826489.9</v>
      </c>
      <c r="I189" s="7">
        <f t="shared" si="341"/>
        <v>99.817620772946853</v>
      </c>
      <c r="J189" s="7">
        <v>0</v>
      </c>
      <c r="K189" s="7">
        <f>49376.5+11340+8820+34795+480+246699+105840+168252+2560+135684.4+42063+20580</f>
        <v>826489.9</v>
      </c>
      <c r="L189" s="7">
        <f t="shared" si="342"/>
        <v>0</v>
      </c>
      <c r="M189" s="7">
        <f t="shared" si="343"/>
        <v>0</v>
      </c>
      <c r="N189" s="7">
        <v>0</v>
      </c>
      <c r="O189" s="7">
        <v>0</v>
      </c>
      <c r="P189" s="7">
        <f t="shared" si="344"/>
        <v>1510.0999999999767</v>
      </c>
      <c r="Q189" s="7">
        <f t="shared" si="345"/>
        <v>0.18237922705313728</v>
      </c>
      <c r="R189" s="7">
        <f t="shared" si="346"/>
        <v>0</v>
      </c>
      <c r="S189" s="7">
        <f t="shared" si="347"/>
        <v>1510.0999999999767</v>
      </c>
    </row>
    <row r="190" spans="1:20" ht="29.25" customHeight="1" x14ac:dyDescent="0.5">
      <c r="A190" s="15">
        <v>175</v>
      </c>
      <c r="B190" s="53" t="str">
        <f>[19]รายการสรุป!$E$10</f>
        <v>โครงการอ่างเก็บน้ำแม่อางอันเนื่องมาจากพระราชดำริ (งานปักหลักเขตชลประทาน)</v>
      </c>
      <c r="C190" s="24" t="str">
        <f>[19]รายการสรุป!$I$9</f>
        <v>0700338006200011</v>
      </c>
      <c r="D190" s="6" t="s">
        <v>92</v>
      </c>
      <c r="E190" s="7">
        <f t="shared" ref="E190" si="348">F190+G190</f>
        <v>320000</v>
      </c>
      <c r="F190" s="7">
        <v>0</v>
      </c>
      <c r="G190" s="8">
        <f>[19]รายการสรุป!$J$10</f>
        <v>320000</v>
      </c>
      <c r="H190" s="7">
        <f t="shared" ref="H190" si="349">J190+K190</f>
        <v>316215.40000000002</v>
      </c>
      <c r="I190" s="7">
        <f t="shared" ref="I190" si="350">H190*100/E190</f>
        <v>98.817312500000014</v>
      </c>
      <c r="J190" s="7">
        <v>0</v>
      </c>
      <c r="K190" s="7">
        <f>17081.6+148057.8+84126+41580+3920+5265+16185</f>
        <v>316215.40000000002</v>
      </c>
      <c r="L190" s="7">
        <f t="shared" ref="L190" si="351">N190+O190</f>
        <v>0</v>
      </c>
      <c r="M190" s="7">
        <f t="shared" ref="M190" si="352">L190*100/E190</f>
        <v>0</v>
      </c>
      <c r="N190" s="7">
        <v>0</v>
      </c>
      <c r="O190" s="7">
        <v>0</v>
      </c>
      <c r="P190" s="7">
        <f t="shared" ref="P190" si="353">R190+S190</f>
        <v>3784.5999999999767</v>
      </c>
      <c r="Q190" s="7">
        <f t="shared" ref="Q190" si="354">P190*100/E190</f>
        <v>1.1826874999999928</v>
      </c>
      <c r="R190" s="7">
        <f t="shared" ref="R190" si="355">F190-J190-N190</f>
        <v>0</v>
      </c>
      <c r="S190" s="7">
        <f t="shared" ref="S190" si="356">G190-K190-O190</f>
        <v>3784.5999999999767</v>
      </c>
    </row>
    <row r="191" spans="1:20" ht="29.25" customHeight="1" x14ac:dyDescent="0.5">
      <c r="A191" s="15">
        <v>176</v>
      </c>
      <c r="B191" s="53" t="str">
        <f>[19]รายการสรุป!$E$11</f>
        <v>โครงการประตูน้ำน้ำอิงบ้านร่องวิว จ.เชียงราย(งานปักหลักเขตชลประทาน)</v>
      </c>
      <c r="C191" s="24" t="str">
        <f>[19]รายการสรุป!$I$11</f>
        <v>0700338006200011</v>
      </c>
      <c r="D191" s="6" t="s">
        <v>92</v>
      </c>
      <c r="E191" s="7">
        <f t="shared" ref="E191:E192" si="357">F191+G191</f>
        <v>19600</v>
      </c>
      <c r="F191" s="7">
        <v>0</v>
      </c>
      <c r="G191" s="8">
        <f>[19]รายการสรุป!$J$11</f>
        <v>19600</v>
      </c>
      <c r="H191" s="7">
        <f t="shared" ref="H191:H192" si="358">J191+K191</f>
        <v>18900</v>
      </c>
      <c r="I191" s="7">
        <f t="shared" ref="I191:I192" si="359">H191*100/E191</f>
        <v>96.428571428571431</v>
      </c>
      <c r="J191" s="7">
        <v>0</v>
      </c>
      <c r="K191" s="7">
        <f>18900</f>
        <v>18900</v>
      </c>
      <c r="L191" s="7">
        <f t="shared" ref="L191:L192" si="360">N191+O191</f>
        <v>0</v>
      </c>
      <c r="M191" s="7">
        <f t="shared" ref="M191:M192" si="361">L191*100/E191</f>
        <v>0</v>
      </c>
      <c r="N191" s="7">
        <v>0</v>
      </c>
      <c r="O191" s="7">
        <v>0</v>
      </c>
      <c r="P191" s="7">
        <f t="shared" ref="P191:P192" si="362">R191+S191</f>
        <v>700</v>
      </c>
      <c r="Q191" s="7">
        <f t="shared" ref="Q191:Q192" si="363">P191*100/E191</f>
        <v>3.5714285714285716</v>
      </c>
      <c r="R191" s="7">
        <f t="shared" ref="R191:R192" si="364">F191-J191-N191</f>
        <v>0</v>
      </c>
      <c r="S191" s="7">
        <f t="shared" ref="S191:S192" si="365">G191-K191-O191</f>
        <v>700</v>
      </c>
    </row>
    <row r="192" spans="1:20" ht="29.25" customHeight="1" x14ac:dyDescent="0.5">
      <c r="A192" s="15">
        <v>177</v>
      </c>
      <c r="B192" s="53" t="str">
        <f>[19]รายการสรุป!$E$12</f>
        <v>โครงการชลประทานน่าน(อ่างเก็บน้ำน้ำแหง)(งานซ่อมเขตชลประทาน)</v>
      </c>
      <c r="C192" s="24" t="str">
        <f>[19]รายการสรุป!$I$12</f>
        <v>0700338006200011</v>
      </c>
      <c r="D192" s="6" t="s">
        <v>92</v>
      </c>
      <c r="E192" s="7">
        <f t="shared" si="357"/>
        <v>1100000</v>
      </c>
      <c r="F192" s="7">
        <v>0</v>
      </c>
      <c r="G192" s="8">
        <f>[19]รายการสรุป!$J$12</f>
        <v>1100000</v>
      </c>
      <c r="H192" s="7">
        <f t="shared" si="358"/>
        <v>1081415.95</v>
      </c>
      <c r="I192" s="7">
        <f t="shared" si="359"/>
        <v>98.310540909090903</v>
      </c>
      <c r="J192" s="7">
        <v>0</v>
      </c>
      <c r="K192" s="7">
        <f>61387+13230+10290+40805+246068.1+210315+113400+276485.85+102153+7282</f>
        <v>1081415.95</v>
      </c>
      <c r="L192" s="7">
        <f t="shared" si="360"/>
        <v>0</v>
      </c>
      <c r="M192" s="7">
        <f t="shared" si="361"/>
        <v>0</v>
      </c>
      <c r="N192" s="7">
        <v>0</v>
      </c>
      <c r="O192" s="7">
        <v>0</v>
      </c>
      <c r="P192" s="7">
        <f t="shared" si="362"/>
        <v>18584.050000000047</v>
      </c>
      <c r="Q192" s="7">
        <f t="shared" si="363"/>
        <v>1.6894590909090952</v>
      </c>
      <c r="R192" s="7">
        <f t="shared" si="364"/>
        <v>0</v>
      </c>
      <c r="S192" s="7">
        <f t="shared" si="365"/>
        <v>18584.050000000047</v>
      </c>
    </row>
    <row r="193" spans="1:20" ht="29.25" customHeight="1" x14ac:dyDescent="0.5">
      <c r="A193" s="15"/>
      <c r="B193" s="48" t="s">
        <v>86</v>
      </c>
      <c r="C193" s="63"/>
      <c r="D193" s="63"/>
      <c r="E193" s="49">
        <f t="shared" si="339"/>
        <v>1258360</v>
      </c>
      <c r="F193" s="49">
        <f>SUM(F194:F196)</f>
        <v>0</v>
      </c>
      <c r="G193" s="49">
        <f>SUM(G194:G198)</f>
        <v>1258360</v>
      </c>
      <c r="H193" s="49">
        <f>J193+K193</f>
        <v>853811.7</v>
      </c>
      <c r="I193" s="49">
        <f>H193*100/E193</f>
        <v>67.851147525350456</v>
      </c>
      <c r="J193" s="49">
        <f>SUM(J194:J196)</f>
        <v>0</v>
      </c>
      <c r="K193" s="49">
        <f>SUM(K194:K198)</f>
        <v>853811.7</v>
      </c>
      <c r="L193" s="49">
        <f>N193+O193</f>
        <v>0</v>
      </c>
      <c r="M193" s="48"/>
      <c r="N193" s="49">
        <f>SUM(N194:N196)</f>
        <v>0</v>
      </c>
      <c r="O193" s="49">
        <f>SUM(O194:O198)</f>
        <v>0</v>
      </c>
      <c r="P193" s="49">
        <f>R193+S193</f>
        <v>404548.30000000005</v>
      </c>
      <c r="Q193" s="49">
        <f t="shared" si="345"/>
        <v>32.148852474649551</v>
      </c>
      <c r="R193" s="49">
        <f>SUM(R195:R216)</f>
        <v>0</v>
      </c>
      <c r="S193" s="49">
        <f>G193-K193-O193</f>
        <v>404548.30000000005</v>
      </c>
    </row>
    <row r="194" spans="1:20" ht="29.25" customHeight="1" x14ac:dyDescent="0.5">
      <c r="A194" s="15">
        <v>178</v>
      </c>
      <c r="B194" s="53" t="str">
        <f>[20]รายการสรุป!$E$5</f>
        <v>ประตูระบายน้ำและอาคารประกอบบ้านดอยอิสาน อ.จุน จ.เชียงราย</v>
      </c>
      <c r="C194" s="24" t="str">
        <f>[20]รายการสรุป!$I$5</f>
        <v>0700338006420008</v>
      </c>
      <c r="D194" s="6" t="s">
        <v>87</v>
      </c>
      <c r="E194" s="7">
        <f t="shared" ref="E194" si="366">F194+G194</f>
        <v>316440</v>
      </c>
      <c r="F194" s="7">
        <v>0</v>
      </c>
      <c r="G194" s="8">
        <f>[20]รายการสรุป!$J$5</f>
        <v>316440</v>
      </c>
      <c r="H194" s="7">
        <f t="shared" ref="H194" si="367">J194+K194</f>
        <v>316225.2</v>
      </c>
      <c r="I194" s="7">
        <f t="shared" ref="I194" si="368">H194*100/E194</f>
        <v>99.93211983314373</v>
      </c>
      <c r="J194" s="7">
        <v>0</v>
      </c>
      <c r="K194" s="7">
        <f>128727.6+38457.6+149040</f>
        <v>316225.2</v>
      </c>
      <c r="L194" s="7">
        <f t="shared" ref="L194" si="369">N194+O194</f>
        <v>0</v>
      </c>
      <c r="M194" s="7">
        <f t="shared" ref="M194" si="370">L194*100/E194</f>
        <v>0</v>
      </c>
      <c r="N194" s="7">
        <v>0</v>
      </c>
      <c r="O194" s="7">
        <v>0</v>
      </c>
      <c r="P194" s="7">
        <f t="shared" ref="P194" si="371">R194+S194</f>
        <v>214.79999999998836</v>
      </c>
      <c r="Q194" s="7">
        <f t="shared" ref="Q194" si="372">P194*100/E194</f>
        <v>6.7880166856272392E-2</v>
      </c>
      <c r="R194" s="7">
        <f t="shared" ref="R194" si="373">F194-J194-N194</f>
        <v>0</v>
      </c>
      <c r="S194" s="7">
        <f t="shared" ref="S194" si="374">G194-K194-O194</f>
        <v>214.79999999998836</v>
      </c>
    </row>
    <row r="195" spans="1:20" ht="29.25" customHeight="1" x14ac:dyDescent="0.5">
      <c r="A195" s="15">
        <v>179</v>
      </c>
      <c r="B195" s="53" t="str">
        <f>[20]รายการสรุป!$E$6</f>
        <v>ประตูระบายน้ำน้ำอิงบ้านร่องวิว อ.เทิง จ.เชียงราย</v>
      </c>
      <c r="C195" s="24" t="str">
        <f>[20]รายการสรุป!$I$6</f>
        <v>0700338006420008</v>
      </c>
      <c r="D195" s="6" t="s">
        <v>87</v>
      </c>
      <c r="E195" s="7">
        <f t="shared" ref="E195:E199" si="375">F195+G195</f>
        <v>224000</v>
      </c>
      <c r="F195" s="7">
        <v>0</v>
      </c>
      <c r="G195" s="8">
        <f>[20]รายการสรุป!$J$6</f>
        <v>224000</v>
      </c>
      <c r="H195" s="7">
        <f t="shared" ref="H195:H196" si="376">J195+K195</f>
        <v>222652.79999999999</v>
      </c>
      <c r="I195" s="7">
        <f t="shared" ref="I195:I196" si="377">H195*100/E195</f>
        <v>99.398571428571429</v>
      </c>
      <c r="J195" s="7">
        <v>0</v>
      </c>
      <c r="K195" s="7">
        <f>37854+45360+37854+58320+43264.8</f>
        <v>222652.79999999999</v>
      </c>
      <c r="L195" s="7">
        <f t="shared" ref="L195:L196" si="378">N195+O195</f>
        <v>0</v>
      </c>
      <c r="M195" s="7">
        <f t="shared" ref="M195:M196" si="379">L195*100/E195</f>
        <v>0</v>
      </c>
      <c r="N195" s="7">
        <v>0</v>
      </c>
      <c r="O195" s="7">
        <v>0</v>
      </c>
      <c r="P195" s="7">
        <f t="shared" ref="P195:P196" si="380">R195+S195</f>
        <v>1347.2000000000116</v>
      </c>
      <c r="Q195" s="7">
        <f t="shared" ref="Q195:Q199" si="381">P195*100/E195</f>
        <v>0.60142857142857664</v>
      </c>
      <c r="R195" s="7">
        <f t="shared" ref="R195:R196" si="382">F195-J195-N195</f>
        <v>0</v>
      </c>
      <c r="S195" s="7">
        <f t="shared" ref="S195:S196" si="383">G195-K195-O195</f>
        <v>1347.2000000000116</v>
      </c>
    </row>
    <row r="196" spans="1:20" ht="29.25" customHeight="1" x14ac:dyDescent="0.5">
      <c r="A196" s="15">
        <v>180</v>
      </c>
      <c r="B196" s="53" t="str">
        <f>[20]รายการสรุป!$E$7</f>
        <v>ประตูระบายน้ำบ้านแก่นเจริญ อ.เชียงของ จ.เชียงราย</v>
      </c>
      <c r="C196" s="24" t="str">
        <f>[20]รายการสรุป!$I$7</f>
        <v>0700338006420008</v>
      </c>
      <c r="D196" s="6" t="s">
        <v>87</v>
      </c>
      <c r="E196" s="7">
        <f t="shared" si="375"/>
        <v>296000</v>
      </c>
      <c r="F196" s="7">
        <v>0</v>
      </c>
      <c r="G196" s="8">
        <f>[20]รายการสรุป!$J$7</f>
        <v>296000</v>
      </c>
      <c r="H196" s="7">
        <f t="shared" si="376"/>
        <v>294114</v>
      </c>
      <c r="I196" s="7">
        <f t="shared" si="377"/>
        <v>99.362837837837844</v>
      </c>
      <c r="J196" s="7">
        <v>0</v>
      </c>
      <c r="K196" s="7">
        <f>113562+132480+48072</f>
        <v>294114</v>
      </c>
      <c r="L196" s="7">
        <f t="shared" si="378"/>
        <v>0</v>
      </c>
      <c r="M196" s="7">
        <f t="shared" si="379"/>
        <v>0</v>
      </c>
      <c r="N196" s="7">
        <v>0</v>
      </c>
      <c r="O196" s="7">
        <v>0</v>
      </c>
      <c r="P196" s="7">
        <f t="shared" si="380"/>
        <v>1886</v>
      </c>
      <c r="Q196" s="7">
        <f t="shared" si="381"/>
        <v>0.63716216216216215</v>
      </c>
      <c r="R196" s="7">
        <f t="shared" si="382"/>
        <v>0</v>
      </c>
      <c r="S196" s="7">
        <f t="shared" si="383"/>
        <v>1886</v>
      </c>
    </row>
    <row r="197" spans="1:20" ht="29.25" customHeight="1" x14ac:dyDescent="0.5">
      <c r="A197" s="15">
        <v>181</v>
      </c>
      <c r="B197" s="53" t="str">
        <f>[20]รายการสรุป!$E$8</f>
        <v>โครงการเพิ่มศักยภาพการกักเก็บน้ำของอ่างเก็บน้ำน้ำฮิ จ.น่าน</v>
      </c>
      <c r="C197" s="24" t="str">
        <f>[20]รายการสรุป!$I$8</f>
        <v>0700338006420008</v>
      </c>
      <c r="D197" s="6" t="s">
        <v>101</v>
      </c>
      <c r="E197" s="7">
        <f t="shared" ref="E197" si="384">F197+G197</f>
        <v>140640</v>
      </c>
      <c r="F197" s="7">
        <v>0</v>
      </c>
      <c r="G197" s="8">
        <f>[20]รายการสรุป!$J$8</f>
        <v>140640</v>
      </c>
      <c r="H197" s="7">
        <f t="shared" ref="H197" si="385">J197+K197</f>
        <v>0</v>
      </c>
      <c r="I197" s="7">
        <f t="shared" ref="I197" si="386">H197*100/E197</f>
        <v>0</v>
      </c>
      <c r="J197" s="7">
        <v>0</v>
      </c>
      <c r="K197" s="7">
        <v>0</v>
      </c>
      <c r="L197" s="7">
        <f t="shared" ref="L197" si="387">N197+O197</f>
        <v>0</v>
      </c>
      <c r="M197" s="7">
        <f t="shared" ref="M197" si="388">L197*100/E197</f>
        <v>0</v>
      </c>
      <c r="N197" s="7">
        <v>0</v>
      </c>
      <c r="O197" s="7">
        <v>0</v>
      </c>
      <c r="P197" s="7">
        <f t="shared" ref="P197" si="389">R197+S197</f>
        <v>140640</v>
      </c>
      <c r="Q197" s="7">
        <f t="shared" ref="Q197" si="390">P197*100/E197</f>
        <v>100</v>
      </c>
      <c r="R197" s="7">
        <f t="shared" ref="R197" si="391">F197-J197-N197</f>
        <v>0</v>
      </c>
      <c r="S197" s="7">
        <f t="shared" ref="S197" si="392">G197-K197-O197</f>
        <v>140640</v>
      </c>
    </row>
    <row r="198" spans="1:20" ht="29.25" customHeight="1" x14ac:dyDescent="0.5">
      <c r="A198" s="15">
        <v>182</v>
      </c>
      <c r="B198" s="53" t="str">
        <f>[20]รายการสรุป!$E$9</f>
        <v>โครงการเพิ่มศักยภาพการกักเก็บน้ำของอ่างเก็บน้ำแม่ต๋ำ จ.พะเยา</v>
      </c>
      <c r="C198" s="24" t="str">
        <f>[20]รายการสรุป!$I$9</f>
        <v>0700338006420008</v>
      </c>
      <c r="D198" s="6" t="s">
        <v>105</v>
      </c>
      <c r="E198" s="7">
        <f t="shared" ref="E198" si="393">F198+G198</f>
        <v>281280</v>
      </c>
      <c r="F198" s="7">
        <v>0</v>
      </c>
      <c r="G198" s="8">
        <f>[20]รายการสรุป!$J$9</f>
        <v>281280</v>
      </c>
      <c r="H198" s="7">
        <f t="shared" ref="H198" si="394">J198+K198</f>
        <v>20819.7</v>
      </c>
      <c r="I198" s="7">
        <f t="shared" ref="I198" si="395">H198*100/E198</f>
        <v>7.4017704778156999</v>
      </c>
      <c r="J198" s="7">
        <v>0</v>
      </c>
      <c r="K198" s="7">
        <f>20819.7</f>
        <v>20819.7</v>
      </c>
      <c r="L198" s="7">
        <f t="shared" ref="L198" si="396">N198+O198</f>
        <v>0</v>
      </c>
      <c r="M198" s="7">
        <f t="shared" ref="M198" si="397">L198*100/E198</f>
        <v>0</v>
      </c>
      <c r="N198" s="7">
        <v>0</v>
      </c>
      <c r="O198" s="7">
        <v>0</v>
      </c>
      <c r="P198" s="7">
        <f t="shared" ref="P198" si="398">R198+S198</f>
        <v>260460.3</v>
      </c>
      <c r="Q198" s="7">
        <f t="shared" ref="Q198" si="399">P198*100/E198</f>
        <v>92.598229522184297</v>
      </c>
      <c r="R198" s="7">
        <f t="shared" ref="R198" si="400">F198-J198-N198</f>
        <v>0</v>
      </c>
      <c r="S198" s="7">
        <f t="shared" ref="S198" si="401">G198-K198-O198</f>
        <v>260460.3</v>
      </c>
    </row>
    <row r="199" spans="1:20" ht="36.75" customHeight="1" x14ac:dyDescent="0.5">
      <c r="A199" s="15"/>
      <c r="B199" s="48" t="s">
        <v>91</v>
      </c>
      <c r="C199" s="63"/>
      <c r="D199" s="63"/>
      <c r="E199" s="49">
        <f t="shared" si="375"/>
        <v>10090</v>
      </c>
      <c r="F199" s="49">
        <f>SUM(F201:F202)</f>
        <v>0</v>
      </c>
      <c r="G199" s="49">
        <f>SUM(G200)</f>
        <v>10090</v>
      </c>
      <c r="H199" s="49">
        <f>J199+K199</f>
        <v>0</v>
      </c>
      <c r="I199" s="49">
        <f>H199*100/E199</f>
        <v>0</v>
      </c>
      <c r="J199" s="49">
        <f>SUM(J200:J201)</f>
        <v>0</v>
      </c>
      <c r="K199" s="49">
        <f>K200</f>
        <v>0</v>
      </c>
      <c r="L199" s="49">
        <f>N199+O199</f>
        <v>0</v>
      </c>
      <c r="M199" s="48"/>
      <c r="N199" s="49">
        <f>SUM(N200:N201)</f>
        <v>0</v>
      </c>
      <c r="O199" s="49">
        <f>O200</f>
        <v>0</v>
      </c>
      <c r="P199" s="49">
        <f>R199+S199</f>
        <v>10090</v>
      </c>
      <c r="Q199" s="49">
        <f t="shared" si="381"/>
        <v>100</v>
      </c>
      <c r="R199" s="49">
        <f>SUM(R201:R219)</f>
        <v>0</v>
      </c>
      <c r="S199" s="49">
        <f>G199-K199-O199</f>
        <v>10090</v>
      </c>
    </row>
    <row r="200" spans="1:20" ht="39.75" customHeight="1" x14ac:dyDescent="0.5">
      <c r="A200" s="15">
        <v>183</v>
      </c>
      <c r="B200" s="53" t="str">
        <f>[21]รายการสรุป!$E$5</f>
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</c>
      <c r="C200" s="24" t="str">
        <f>[21]รายการสรุป!$I$5</f>
        <v>0700338006410EM2</v>
      </c>
      <c r="D200" s="6" t="s">
        <v>92</v>
      </c>
      <c r="E200" s="7">
        <f t="shared" ref="E200" si="402">F200+G200</f>
        <v>10090</v>
      </c>
      <c r="F200" s="7">
        <v>0</v>
      </c>
      <c r="G200" s="8">
        <f>[21]รายการสรุป!$J$5</f>
        <v>10090</v>
      </c>
      <c r="H200" s="7">
        <f t="shared" ref="H200" si="403">J200+K200</f>
        <v>0</v>
      </c>
      <c r="I200" s="7">
        <f t="shared" ref="I200" si="404">H200*100/E200</f>
        <v>0</v>
      </c>
      <c r="J200" s="7">
        <v>0</v>
      </c>
      <c r="K200" s="7">
        <v>0</v>
      </c>
      <c r="L200" s="7">
        <f t="shared" ref="L200" si="405">N200+O200</f>
        <v>0</v>
      </c>
      <c r="M200" s="7">
        <f t="shared" ref="M200" si="406">L200*100/E200</f>
        <v>0</v>
      </c>
      <c r="N200" s="7">
        <v>0</v>
      </c>
      <c r="O200" s="7">
        <v>0</v>
      </c>
      <c r="P200" s="7">
        <f t="shared" ref="P200" si="407">R200+S200</f>
        <v>10090</v>
      </c>
      <c r="Q200" s="7">
        <f t="shared" ref="Q200" si="408">P200*100/E200</f>
        <v>100</v>
      </c>
      <c r="R200" s="7">
        <f t="shared" ref="R200" si="409">F200-J200-N200</f>
        <v>0</v>
      </c>
      <c r="S200" s="7">
        <f t="shared" ref="S200" si="410">G200-K200-O200</f>
        <v>10090</v>
      </c>
    </row>
    <row r="201" spans="1:20" ht="30" customHeight="1" x14ac:dyDescent="0.5">
      <c r="A201" s="15"/>
      <c r="B201" s="50" t="s">
        <v>42</v>
      </c>
      <c r="C201" s="65"/>
      <c r="D201" s="62"/>
      <c r="E201" s="51">
        <f t="shared" si="251"/>
        <v>5571800</v>
      </c>
      <c r="F201" s="50">
        <v>0</v>
      </c>
      <c r="G201" s="51">
        <f>G202+G209+G222+G224</f>
        <v>5571800</v>
      </c>
      <c r="H201" s="52">
        <f>J201+K201</f>
        <v>2112955.7400000002</v>
      </c>
      <c r="I201" s="7">
        <f>H201*100/E201</f>
        <v>37.922318460820563</v>
      </c>
      <c r="J201" s="50">
        <v>0</v>
      </c>
      <c r="K201" s="52">
        <f>K202+K209+K222+K224</f>
        <v>2112955.7400000002</v>
      </c>
      <c r="L201" s="52">
        <f>N201+O201</f>
        <v>0</v>
      </c>
      <c r="M201" s="50">
        <f>L201*100/E201</f>
        <v>0</v>
      </c>
      <c r="N201" s="50">
        <v>0</v>
      </c>
      <c r="O201" s="52">
        <f>O202+O209+O222+O224</f>
        <v>0</v>
      </c>
      <c r="P201" s="52">
        <f>R201+S201</f>
        <v>3458844.26</v>
      </c>
      <c r="Q201" s="51">
        <f>P201*100/E201</f>
        <v>62.077681539179437</v>
      </c>
      <c r="R201" s="50">
        <v>0</v>
      </c>
      <c r="S201" s="52">
        <f>G201-K201-O201</f>
        <v>3458844.26</v>
      </c>
      <c r="T201" s="26">
        <f>I201+Q201</f>
        <v>100</v>
      </c>
    </row>
    <row r="202" spans="1:20" ht="30" customHeight="1" x14ac:dyDescent="0.5">
      <c r="A202" s="15"/>
      <c r="B202" s="48" t="s">
        <v>43</v>
      </c>
      <c r="C202" s="63"/>
      <c r="D202" s="63"/>
      <c r="E202" s="49">
        <f t="shared" si="251"/>
        <v>597000</v>
      </c>
      <c r="F202" s="49">
        <f>SUM(F204:F213)</f>
        <v>0</v>
      </c>
      <c r="G202" s="49">
        <f>SUM(G203:G208)</f>
        <v>597000</v>
      </c>
      <c r="H202" s="49">
        <f>J202+K202</f>
        <v>369432.9</v>
      </c>
      <c r="I202" s="49">
        <f>H202*100/E202</f>
        <v>61.881557788944725</v>
      </c>
      <c r="J202" s="49">
        <f>SUM(J204:J213)</f>
        <v>0</v>
      </c>
      <c r="K202" s="49">
        <f>SUM(K203:K208)</f>
        <v>369432.9</v>
      </c>
      <c r="L202" s="49">
        <f>N202+O202</f>
        <v>0</v>
      </c>
      <c r="M202" s="48"/>
      <c r="N202" s="49">
        <f>SUM(N204:N211)</f>
        <v>0</v>
      </c>
      <c r="O202" s="49">
        <f>SUM(O203:O208)</f>
        <v>0</v>
      </c>
      <c r="P202" s="49">
        <f>R202+S202</f>
        <v>227567.09999999998</v>
      </c>
      <c r="Q202" s="7">
        <f t="shared" ref="Q202:Q203" si="411">P202*100/E202</f>
        <v>38.118442211055267</v>
      </c>
      <c r="R202" s="49">
        <f>SUM(R204:R211)</f>
        <v>0</v>
      </c>
      <c r="S202" s="49">
        <f>G202-K202-O202</f>
        <v>227567.09999999998</v>
      </c>
    </row>
    <row r="203" spans="1:20" ht="45.75" customHeight="1" x14ac:dyDescent="0.5">
      <c r="A203" s="15">
        <v>184</v>
      </c>
      <c r="B203" s="53" t="str">
        <f>[22]รายการสรุป!$E$5</f>
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</c>
      <c r="C203" s="24" t="str">
        <f>[22]รายการสรุป!$I$5</f>
        <v>0700341027410096</v>
      </c>
      <c r="D203" s="6" t="s">
        <v>38</v>
      </c>
      <c r="E203" s="7">
        <f t="shared" ref="E203" si="412">F203+G203</f>
        <v>99500</v>
      </c>
      <c r="F203" s="7">
        <v>0</v>
      </c>
      <c r="G203" s="8">
        <f>[22]รายการสรุป!$J$5</f>
        <v>99500</v>
      </c>
      <c r="H203" s="7">
        <f t="shared" ref="H203" si="413">J203+K203</f>
        <v>96240</v>
      </c>
      <c r="I203" s="7">
        <f t="shared" ref="I203" si="414">H203*100/E203</f>
        <v>96.723618090452263</v>
      </c>
      <c r="J203" s="7">
        <v>0</v>
      </c>
      <c r="K203" s="7">
        <f>15040+81200</f>
        <v>96240</v>
      </c>
      <c r="L203" s="7">
        <f t="shared" ref="L203" si="415">N203+O203</f>
        <v>0</v>
      </c>
      <c r="M203" s="7">
        <f t="shared" ref="M203" si="416">L203*100/E203</f>
        <v>0</v>
      </c>
      <c r="N203" s="7">
        <v>0</v>
      </c>
      <c r="O203" s="7">
        <v>0</v>
      </c>
      <c r="P203" s="7">
        <f t="shared" ref="P203" si="417">R203+S203</f>
        <v>3260</v>
      </c>
      <c r="Q203" s="7">
        <f t="shared" si="411"/>
        <v>3.2763819095477387</v>
      </c>
      <c r="R203" s="7">
        <f t="shared" ref="R203" si="418">F203-J203-N203</f>
        <v>0</v>
      </c>
      <c r="S203" s="7">
        <f t="shared" ref="S203" si="419">G203-K203-O203</f>
        <v>3260</v>
      </c>
    </row>
    <row r="204" spans="1:20" ht="30" customHeight="1" x14ac:dyDescent="0.5">
      <c r="A204" s="15">
        <v>185</v>
      </c>
      <c r="B204" s="53" t="str">
        <f>[22]รายการสรุป!$E$6</f>
        <v>ปรับปรุงระบบส่งน้ำฝั่งขวาฝายชัยสมบัติระยะที่ 1 โครงการชลประทานเชียงราย จ.เชียงราย</v>
      </c>
      <c r="C204" s="24" t="str">
        <f>[22]รายการสรุป!$I$6</f>
        <v>0700341027410011</v>
      </c>
      <c r="D204" s="6" t="s">
        <v>38</v>
      </c>
      <c r="E204" s="7">
        <f t="shared" ref="E204:E209" si="420">F204+G204</f>
        <v>0</v>
      </c>
      <c r="F204" s="7">
        <v>0</v>
      </c>
      <c r="G204" s="8">
        <f>[22]รายการสรุป!$J$6</f>
        <v>0</v>
      </c>
      <c r="H204" s="7">
        <f t="shared" ref="H204:H205" si="421">J204+K204</f>
        <v>0</v>
      </c>
      <c r="I204" s="7" t="e">
        <f t="shared" ref="I204:I205" si="422">H204*100/E204</f>
        <v>#DIV/0!</v>
      </c>
      <c r="J204" s="7">
        <v>0</v>
      </c>
      <c r="K204" s="7">
        <v>0</v>
      </c>
      <c r="L204" s="7">
        <f t="shared" ref="L204:L205" si="423">N204+O204</f>
        <v>0</v>
      </c>
      <c r="M204" s="7" t="e">
        <f t="shared" ref="M204:M205" si="424">L204*100/E204</f>
        <v>#DIV/0!</v>
      </c>
      <c r="N204" s="7">
        <v>0</v>
      </c>
      <c r="O204" s="7">
        <v>0</v>
      </c>
      <c r="P204" s="7">
        <f t="shared" ref="P204:P205" si="425">R204+S204</f>
        <v>0</v>
      </c>
      <c r="Q204" s="7" t="e">
        <f t="shared" ref="Q204:Q209" si="426">P204*100/E204</f>
        <v>#DIV/0!</v>
      </c>
      <c r="R204" s="7">
        <f t="shared" ref="R204:R205" si="427">F204-J204-N204</f>
        <v>0</v>
      </c>
      <c r="S204" s="7">
        <f t="shared" ref="S204:S205" si="428">G204-K204-O204</f>
        <v>0</v>
      </c>
      <c r="T204" s="1" t="s">
        <v>83</v>
      </c>
    </row>
    <row r="205" spans="1:20" ht="30" customHeight="1" x14ac:dyDescent="0.5">
      <c r="A205" s="15">
        <v>186</v>
      </c>
      <c r="B205" s="53" t="str">
        <f>[22]รายการสรุป!$E$7</f>
        <v>ปรับปรุงฝายห้วยยางงามพร้อมระบบส่งน้ำ โครงการชลประทานเชียงราย จ.เชียงราย</v>
      </c>
      <c r="C205" s="24" t="str">
        <f>[22]รายการสรุป!$I$7</f>
        <v>0700341027420006</v>
      </c>
      <c r="D205" s="6" t="s">
        <v>38</v>
      </c>
      <c r="E205" s="7">
        <f t="shared" si="420"/>
        <v>0</v>
      </c>
      <c r="F205" s="7">
        <v>0</v>
      </c>
      <c r="G205" s="8">
        <f>[22]รายการสรุป!$J$7</f>
        <v>0</v>
      </c>
      <c r="H205" s="7">
        <f t="shared" si="421"/>
        <v>0</v>
      </c>
      <c r="I205" s="7" t="e">
        <f t="shared" si="422"/>
        <v>#DIV/0!</v>
      </c>
      <c r="J205" s="7">
        <v>0</v>
      </c>
      <c r="K205" s="7">
        <v>0</v>
      </c>
      <c r="L205" s="7">
        <f t="shared" si="423"/>
        <v>0</v>
      </c>
      <c r="M205" s="7" t="e">
        <f t="shared" si="424"/>
        <v>#DIV/0!</v>
      </c>
      <c r="N205" s="7">
        <v>0</v>
      </c>
      <c r="O205" s="7">
        <v>0</v>
      </c>
      <c r="P205" s="7">
        <f t="shared" si="425"/>
        <v>0</v>
      </c>
      <c r="Q205" s="7" t="e">
        <f t="shared" si="426"/>
        <v>#DIV/0!</v>
      </c>
      <c r="R205" s="7">
        <f t="shared" si="427"/>
        <v>0</v>
      </c>
      <c r="S205" s="7">
        <f t="shared" si="428"/>
        <v>0</v>
      </c>
      <c r="T205" s="1" t="s">
        <v>83</v>
      </c>
    </row>
    <row r="206" spans="1:20" ht="30" customHeight="1" x14ac:dyDescent="0.5">
      <c r="A206" s="15">
        <v>187</v>
      </c>
      <c r="B206" s="53" t="str">
        <f>[22]รายการสรุป!$E$8</f>
        <v>ปรับปรุงคลองซอย 3L-RMC ระยะที่ 2 โครงการส่งน้ำและบำรุงรักษาแม่ลาว จ.เชียงราย</v>
      </c>
      <c r="C206" s="24" t="str">
        <f>[22]รายการสรุป!$I$8</f>
        <v>0700341027410095</v>
      </c>
      <c r="D206" s="6" t="s">
        <v>49</v>
      </c>
      <c r="E206" s="7">
        <f t="shared" ref="E206" si="429">F206+G206</f>
        <v>311500</v>
      </c>
      <c r="F206" s="7">
        <v>0</v>
      </c>
      <c r="G206" s="8">
        <f>[22]รายการสรุป!$J$8</f>
        <v>311500</v>
      </c>
      <c r="H206" s="7">
        <f t="shared" ref="H206" si="430">J206+K206</f>
        <v>88362.9</v>
      </c>
      <c r="I206" s="7">
        <f t="shared" ref="I206" si="431">H206*100/E206</f>
        <v>28.366902086677367</v>
      </c>
      <c r="J206" s="7">
        <v>0</v>
      </c>
      <c r="K206" s="7">
        <f>14331+19038.4+6363.5+6720+3840+38070</f>
        <v>88362.9</v>
      </c>
      <c r="L206" s="7">
        <f t="shared" ref="L206" si="432">N206+O206</f>
        <v>0</v>
      </c>
      <c r="M206" s="7">
        <f t="shared" ref="M206" si="433">L206*100/E206</f>
        <v>0</v>
      </c>
      <c r="N206" s="7">
        <v>0</v>
      </c>
      <c r="O206" s="7">
        <v>0</v>
      </c>
      <c r="P206" s="7">
        <f t="shared" ref="P206" si="434">R206+S206</f>
        <v>223137.1</v>
      </c>
      <c r="Q206" s="7">
        <f t="shared" ref="Q206" si="435">P206*100/E206</f>
        <v>71.633097913322629</v>
      </c>
      <c r="R206" s="7">
        <f t="shared" ref="R206" si="436">F206-J206-N206</f>
        <v>0</v>
      </c>
      <c r="S206" s="7">
        <f t="shared" ref="S206" si="437">G206-K206-O206</f>
        <v>223137.1</v>
      </c>
    </row>
    <row r="207" spans="1:20" ht="30" customHeight="1" x14ac:dyDescent="0.5">
      <c r="A207" s="15">
        <v>188</v>
      </c>
      <c r="B207" s="53" t="str">
        <f>[22]รายการสรุป!$E$9</f>
        <v>ปรับปรุงคันคลอง RMC ระยะที่ 2โครงการส่งน้ำและบำรุงแม่ลาว จ.เชียงราย</v>
      </c>
      <c r="C207" s="24" t="str">
        <f>[22]รายการสรุป!$I$9</f>
        <v>0700341027420080</v>
      </c>
      <c r="D207" s="6" t="s">
        <v>75</v>
      </c>
      <c r="E207" s="7">
        <f t="shared" ref="E207" si="438">F207+G207</f>
        <v>78000</v>
      </c>
      <c r="F207" s="7">
        <v>0</v>
      </c>
      <c r="G207" s="8">
        <f>[22]รายการสรุป!$J$9</f>
        <v>78000</v>
      </c>
      <c r="H207" s="7">
        <f t="shared" ref="H207" si="439">J207+K207</f>
        <v>77400</v>
      </c>
      <c r="I207" s="7">
        <f t="shared" ref="I207" si="440">H207*100/E207</f>
        <v>99.230769230769226</v>
      </c>
      <c r="J207" s="7">
        <v>0</v>
      </c>
      <c r="K207" s="7">
        <f>77400</f>
        <v>77400</v>
      </c>
      <c r="L207" s="7">
        <f t="shared" ref="L207" si="441">N207+O207</f>
        <v>0</v>
      </c>
      <c r="M207" s="7">
        <f t="shared" ref="M207" si="442">L207*100/E207</f>
        <v>0</v>
      </c>
      <c r="N207" s="7">
        <v>0</v>
      </c>
      <c r="O207" s="7">
        <v>0</v>
      </c>
      <c r="P207" s="7">
        <f t="shared" ref="P207" si="443">R207+S207</f>
        <v>600</v>
      </c>
      <c r="Q207" s="7">
        <f t="shared" ref="Q207" si="444">P207*100/E207</f>
        <v>0.76923076923076927</v>
      </c>
      <c r="R207" s="7">
        <f t="shared" ref="R207" si="445">F207-J207-N207</f>
        <v>0</v>
      </c>
      <c r="S207" s="7">
        <f t="shared" ref="S207" si="446">G207-K207-O207</f>
        <v>600</v>
      </c>
    </row>
    <row r="208" spans="1:20" ht="30" customHeight="1" x14ac:dyDescent="0.5">
      <c r="A208" s="15">
        <v>189</v>
      </c>
      <c r="B208" s="53" t="str">
        <f>[22]รายการสรุป!$E$10</f>
        <v>ปรับปรุงคันคลอง RMC ระยะที่ 1โครงการส่งน้ำและบำรุงแม่ลาว จ.เชียงราย</v>
      </c>
      <c r="C208" s="24" t="str">
        <f>[22]รายการสรุป!$I$10</f>
        <v>0700341027420079</v>
      </c>
      <c r="D208" s="6" t="s">
        <v>81</v>
      </c>
      <c r="E208" s="7">
        <f t="shared" ref="E208" si="447">F208+G208</f>
        <v>108000</v>
      </c>
      <c r="F208" s="7">
        <v>0</v>
      </c>
      <c r="G208" s="8">
        <f>[22]รายการสรุป!$J$10</f>
        <v>108000</v>
      </c>
      <c r="H208" s="7">
        <f t="shared" ref="H208" si="448">J208+K208</f>
        <v>107430</v>
      </c>
      <c r="I208" s="7">
        <f t="shared" ref="I208" si="449">H208*100/E208</f>
        <v>99.472222222222229</v>
      </c>
      <c r="J208" s="7">
        <v>0</v>
      </c>
      <c r="K208" s="7">
        <f>63470+43960</f>
        <v>107430</v>
      </c>
      <c r="L208" s="7">
        <f t="shared" ref="L208" si="450">N208+O208</f>
        <v>0</v>
      </c>
      <c r="M208" s="7">
        <f t="shared" ref="M208" si="451">L208*100/E208</f>
        <v>0</v>
      </c>
      <c r="N208" s="7">
        <v>0</v>
      </c>
      <c r="O208" s="7">
        <v>0</v>
      </c>
      <c r="P208" s="7">
        <f t="shared" ref="P208" si="452">R208+S208</f>
        <v>570</v>
      </c>
      <c r="Q208" s="7">
        <f t="shared" ref="Q208" si="453">P208*100/E208</f>
        <v>0.52777777777777779</v>
      </c>
      <c r="R208" s="7">
        <f t="shared" ref="R208" si="454">F208-J208-N208</f>
        <v>0</v>
      </c>
      <c r="S208" s="7">
        <f t="shared" ref="S208" si="455">G208-K208-O208</f>
        <v>570</v>
      </c>
    </row>
    <row r="209" spans="1:19" ht="30" customHeight="1" x14ac:dyDescent="0.5">
      <c r="A209" s="15"/>
      <c r="B209" s="48" t="s">
        <v>31</v>
      </c>
      <c r="C209" s="63"/>
      <c r="D209" s="63"/>
      <c r="E209" s="49">
        <f t="shared" si="420"/>
        <v>3954100</v>
      </c>
      <c r="F209" s="49">
        <f>SUM(F211:F217)</f>
        <v>0</v>
      </c>
      <c r="G209" s="49">
        <f>SUM(G210:G221)</f>
        <v>3954100</v>
      </c>
      <c r="H209" s="49">
        <f>J209+K209</f>
        <v>1293547.8400000001</v>
      </c>
      <c r="I209" s="49">
        <f>H209*100/E209</f>
        <v>32.714090184871402</v>
      </c>
      <c r="J209" s="49">
        <f>SUM(J211:J217)</f>
        <v>0</v>
      </c>
      <c r="K209" s="49">
        <f>SUM(K210:K221)</f>
        <v>1293547.8400000001</v>
      </c>
      <c r="L209" s="49">
        <f>N209+O209</f>
        <v>0</v>
      </c>
      <c r="M209" s="48"/>
      <c r="N209" s="49">
        <f>SUM(N211:N215)</f>
        <v>0</v>
      </c>
      <c r="O209" s="49">
        <f>SUM(O210:O221)</f>
        <v>0</v>
      </c>
      <c r="P209" s="49">
        <f>R209+S209</f>
        <v>2660552.16</v>
      </c>
      <c r="Q209" s="7">
        <f t="shared" si="426"/>
        <v>67.285909815128605</v>
      </c>
      <c r="R209" s="49">
        <f>SUM(R211:R215)</f>
        <v>0</v>
      </c>
      <c r="S209" s="49">
        <f>G209-K209-O209</f>
        <v>2660552.16</v>
      </c>
    </row>
    <row r="210" spans="1:19" ht="45.75" customHeight="1" x14ac:dyDescent="0.5">
      <c r="A210" s="15">
        <v>190</v>
      </c>
      <c r="B210" s="53" t="str">
        <f>[23]รายการสรุป!$E$5</f>
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</c>
      <c r="C210" s="24" t="str">
        <f>[23]รายการสรุป!$I$5</f>
        <v>0700341027410010</v>
      </c>
      <c r="D210" s="6" t="s">
        <v>38</v>
      </c>
      <c r="E210" s="7">
        <f t="shared" ref="E210" si="456">F210+G210</f>
        <v>243600</v>
      </c>
      <c r="F210" s="7">
        <v>0</v>
      </c>
      <c r="G210" s="8">
        <f>[23]รายการสรุป!$J$5</f>
        <v>243600</v>
      </c>
      <c r="H210" s="7">
        <f t="shared" ref="H210" si="457">J210+K210</f>
        <v>0</v>
      </c>
      <c r="I210" s="7">
        <f t="shared" ref="I210" si="458">H210*100/E210</f>
        <v>0</v>
      </c>
      <c r="J210" s="7">
        <v>0</v>
      </c>
      <c r="K210" s="7">
        <v>0</v>
      </c>
      <c r="L210" s="7">
        <f t="shared" ref="L210" si="459">N210+O210</f>
        <v>0</v>
      </c>
      <c r="M210" s="7">
        <f t="shared" ref="M210" si="460">L210*100/E210</f>
        <v>0</v>
      </c>
      <c r="N210" s="7">
        <v>0</v>
      </c>
      <c r="O210" s="7">
        <v>0</v>
      </c>
      <c r="P210" s="7">
        <f t="shared" ref="P210" si="461">R210+S210</f>
        <v>243600</v>
      </c>
      <c r="Q210" s="7">
        <f t="shared" ref="Q210" si="462">P210*100/E210</f>
        <v>100</v>
      </c>
      <c r="R210" s="7">
        <f t="shared" ref="R210" si="463">F210-J210-N210</f>
        <v>0</v>
      </c>
      <c r="S210" s="7">
        <f t="shared" ref="S210" si="464">G210-K210-O210</f>
        <v>243600</v>
      </c>
    </row>
    <row r="211" spans="1:19" ht="45.75" customHeight="1" x14ac:dyDescent="0.5">
      <c r="A211" s="15">
        <v>191</v>
      </c>
      <c r="B211" s="53" t="str">
        <f>[23]รายการสรุป!$E$6</f>
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</c>
      <c r="C211" s="24" t="str">
        <f>[23]รายการสรุป!$I$6</f>
        <v>0700341027410011</v>
      </c>
      <c r="D211" s="6" t="s">
        <v>38</v>
      </c>
      <c r="E211" s="7">
        <f t="shared" ref="E211:E217" si="465">F211+G211</f>
        <v>269100</v>
      </c>
      <c r="F211" s="7">
        <v>0</v>
      </c>
      <c r="G211" s="8">
        <f>[23]รายการสรุป!$J$6</f>
        <v>269100</v>
      </c>
      <c r="H211" s="7">
        <f t="shared" ref="H211:H217" si="466">J211+K211</f>
        <v>0</v>
      </c>
      <c r="I211" s="7">
        <f t="shared" ref="I211:I217" si="467">H211*100/E211</f>
        <v>0</v>
      </c>
      <c r="J211" s="7">
        <v>0</v>
      </c>
      <c r="K211" s="7">
        <v>0</v>
      </c>
      <c r="L211" s="7">
        <f t="shared" ref="L211:L217" si="468">N211+O211</f>
        <v>0</v>
      </c>
      <c r="M211" s="7">
        <f t="shared" ref="M211:M217" si="469">L211*100/E211</f>
        <v>0</v>
      </c>
      <c r="N211" s="7">
        <v>0</v>
      </c>
      <c r="O211" s="7">
        <v>0</v>
      </c>
      <c r="P211" s="7">
        <f t="shared" ref="P211:P217" si="470">R211+S211</f>
        <v>269100</v>
      </c>
      <c r="Q211" s="7">
        <f t="shared" ref="Q211:Q217" si="471">P211*100/E211</f>
        <v>100</v>
      </c>
      <c r="R211" s="7">
        <f t="shared" ref="R211:R217" si="472">F211-J211-N211</f>
        <v>0</v>
      </c>
      <c r="S211" s="7">
        <f t="shared" ref="S211:S217" si="473">G211-K211-O211</f>
        <v>269100</v>
      </c>
    </row>
    <row r="212" spans="1:19" ht="30" customHeight="1" x14ac:dyDescent="0.5">
      <c r="A212" s="15">
        <v>192</v>
      </c>
      <c r="B212" s="53" t="str">
        <f>[23]รายการสรุป!$E$7</f>
        <v>ปรับปรุงระบบส่งน้ำอ่างเก็บน้ำห้วยสมัย โครงการชลประทานลำปาง จ.ลำปาง</v>
      </c>
      <c r="C212" s="24" t="str">
        <f>[23]รายการสรุป!$I$7</f>
        <v>0700341027410012</v>
      </c>
      <c r="D212" s="6" t="s">
        <v>38</v>
      </c>
      <c r="E212" s="7">
        <f t="shared" si="465"/>
        <v>220000</v>
      </c>
      <c r="F212" s="7">
        <v>0</v>
      </c>
      <c r="G212" s="8">
        <f>[23]รายการสรุป!$J$7</f>
        <v>220000</v>
      </c>
      <c r="H212" s="7">
        <f t="shared" si="466"/>
        <v>0</v>
      </c>
      <c r="I212" s="7">
        <f t="shared" si="467"/>
        <v>0</v>
      </c>
      <c r="J212" s="7">
        <v>0</v>
      </c>
      <c r="K212" s="7">
        <v>0</v>
      </c>
      <c r="L212" s="7">
        <f t="shared" si="468"/>
        <v>0</v>
      </c>
      <c r="M212" s="7">
        <f t="shared" si="469"/>
        <v>0</v>
      </c>
      <c r="N212" s="7">
        <v>0</v>
      </c>
      <c r="O212" s="7">
        <v>0</v>
      </c>
      <c r="P212" s="7">
        <f t="shared" si="470"/>
        <v>220000</v>
      </c>
      <c r="Q212" s="7">
        <f t="shared" si="471"/>
        <v>100</v>
      </c>
      <c r="R212" s="7">
        <f t="shared" si="472"/>
        <v>0</v>
      </c>
      <c r="S212" s="7">
        <f t="shared" si="473"/>
        <v>220000</v>
      </c>
    </row>
    <row r="213" spans="1:19" ht="45" customHeight="1" x14ac:dyDescent="0.5">
      <c r="A213" s="15">
        <v>193</v>
      </c>
      <c r="B213" s="53" t="str">
        <f>[23]รายการสรุป!$E$8</f>
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</c>
      <c r="C213" s="24" t="str">
        <f>[23]รายการสรุป!$I$8</f>
        <v>0700341027410192</v>
      </c>
      <c r="D213" s="6" t="s">
        <v>38</v>
      </c>
      <c r="E213" s="7">
        <f t="shared" si="465"/>
        <v>123000</v>
      </c>
      <c r="F213" s="7">
        <v>0</v>
      </c>
      <c r="G213" s="8">
        <f>[23]รายการสรุป!$J$8</f>
        <v>123000</v>
      </c>
      <c r="H213" s="7">
        <f t="shared" si="466"/>
        <v>50794.45</v>
      </c>
      <c r="I213" s="7">
        <f t="shared" si="467"/>
        <v>41.296300813008131</v>
      </c>
      <c r="J213" s="7">
        <v>0</v>
      </c>
      <c r="K213" s="7">
        <f>50794.45</f>
        <v>50794.45</v>
      </c>
      <c r="L213" s="7">
        <f t="shared" si="468"/>
        <v>0</v>
      </c>
      <c r="M213" s="7">
        <f t="shared" si="469"/>
        <v>0</v>
      </c>
      <c r="N213" s="7">
        <v>0</v>
      </c>
      <c r="O213" s="7">
        <v>0</v>
      </c>
      <c r="P213" s="7">
        <f t="shared" si="470"/>
        <v>72205.55</v>
      </c>
      <c r="Q213" s="7">
        <f t="shared" si="471"/>
        <v>58.703699186991869</v>
      </c>
      <c r="R213" s="7">
        <f t="shared" si="472"/>
        <v>0</v>
      </c>
      <c r="S213" s="7">
        <f t="shared" si="473"/>
        <v>72205.55</v>
      </c>
    </row>
    <row r="214" spans="1:19" ht="30" customHeight="1" x14ac:dyDescent="0.5">
      <c r="A214" s="15">
        <v>194</v>
      </c>
      <c r="B214" s="53" t="str">
        <f>[23]รายการสรุป!$E$9</f>
        <v>ปรับปรุงระบบส่งน้ำฝายแม่ก๋งลูกที่ 2 โครงการส่งน้ำและบำรุงรักษาแม่วัง จ.ลำปาง</v>
      </c>
      <c r="C214" s="24" t="str">
        <f>[23]รายการสรุป!$I$9</f>
        <v>0700341027420003</v>
      </c>
      <c r="D214" s="6" t="s">
        <v>38</v>
      </c>
      <c r="E214" s="7">
        <f t="shared" si="465"/>
        <v>359800</v>
      </c>
      <c r="F214" s="7">
        <v>0</v>
      </c>
      <c r="G214" s="8">
        <f>[23]รายการสรุป!$J$9</f>
        <v>359800</v>
      </c>
      <c r="H214" s="7">
        <f t="shared" si="466"/>
        <v>0</v>
      </c>
      <c r="I214" s="7">
        <f t="shared" si="467"/>
        <v>0</v>
      </c>
      <c r="J214" s="7">
        <v>0</v>
      </c>
      <c r="K214" s="7">
        <v>0</v>
      </c>
      <c r="L214" s="7">
        <f t="shared" si="468"/>
        <v>0</v>
      </c>
      <c r="M214" s="7">
        <f t="shared" si="469"/>
        <v>0</v>
      </c>
      <c r="N214" s="7">
        <v>0</v>
      </c>
      <c r="O214" s="7">
        <v>0</v>
      </c>
      <c r="P214" s="7">
        <f t="shared" si="470"/>
        <v>359800</v>
      </c>
      <c r="Q214" s="7">
        <f t="shared" si="471"/>
        <v>100</v>
      </c>
      <c r="R214" s="7">
        <f t="shared" si="472"/>
        <v>0</v>
      </c>
      <c r="S214" s="7">
        <f t="shared" si="473"/>
        <v>359800</v>
      </c>
    </row>
    <row r="215" spans="1:19" ht="30" customHeight="1" x14ac:dyDescent="0.5">
      <c r="A215" s="15">
        <v>195</v>
      </c>
      <c r="B215" s="53" t="str">
        <f>[23]รายการสรุป!$E$10</f>
        <v>ปรับปรุงฝายลูกที่ 6 ห้วยแม่ปูนพร้อมอาคารประกอบโครงการส่งน้ำและบำรุงรักษาแม่วัง จ.ลำปาง</v>
      </c>
      <c r="C215" s="24" t="str">
        <f>[23]รายการสรุป!$I$10</f>
        <v>0700341027420004</v>
      </c>
      <c r="D215" s="6" t="s">
        <v>38</v>
      </c>
      <c r="E215" s="7">
        <f t="shared" si="465"/>
        <v>555600</v>
      </c>
      <c r="F215" s="7">
        <v>0</v>
      </c>
      <c r="G215" s="8">
        <f>[23]รายการสรุป!$J$10</f>
        <v>555600</v>
      </c>
      <c r="H215" s="7">
        <f t="shared" si="466"/>
        <v>159413.34000000003</v>
      </c>
      <c r="I215" s="7">
        <f t="shared" si="467"/>
        <v>28.692105831533482</v>
      </c>
      <c r="J215" s="7">
        <v>0</v>
      </c>
      <c r="K215" s="7">
        <f>66051.7+2953.6+35037.8+20939.79+13266+2953.6+8000.9+7256.35+2953.6</f>
        <v>159413.34000000003</v>
      </c>
      <c r="L215" s="7">
        <f t="shared" si="468"/>
        <v>0</v>
      </c>
      <c r="M215" s="7">
        <f t="shared" si="469"/>
        <v>0</v>
      </c>
      <c r="N215" s="7">
        <v>0</v>
      </c>
      <c r="O215" s="7">
        <v>0</v>
      </c>
      <c r="P215" s="7">
        <f t="shared" si="470"/>
        <v>396186.66</v>
      </c>
      <c r="Q215" s="7">
        <f t="shared" si="471"/>
        <v>71.307894168466518</v>
      </c>
      <c r="R215" s="7">
        <f t="shared" si="472"/>
        <v>0</v>
      </c>
      <c r="S215" s="7">
        <f t="shared" si="473"/>
        <v>396186.66</v>
      </c>
    </row>
    <row r="216" spans="1:19" ht="30" customHeight="1" x14ac:dyDescent="0.5">
      <c r="A216" s="15">
        <v>196</v>
      </c>
      <c r="B216" s="53" t="str">
        <f>[23]รายการสรุป!$E$11</f>
        <v>ปรับปรุงระบบส่งน้ำฝายระยะที่ 2 โครงการชลประทานลำปาง จ.ลำปาง</v>
      </c>
      <c r="C216" s="24" t="str">
        <f>[23]รายการสรุป!$I$11</f>
        <v>0700341027420104</v>
      </c>
      <c r="D216" s="6" t="s">
        <v>38</v>
      </c>
      <c r="E216" s="7">
        <f t="shared" si="465"/>
        <v>340000</v>
      </c>
      <c r="F216" s="7">
        <v>0</v>
      </c>
      <c r="G216" s="8">
        <f>[23]รายการสรุป!$J$11</f>
        <v>340000</v>
      </c>
      <c r="H216" s="7">
        <f t="shared" si="466"/>
        <v>0</v>
      </c>
      <c r="I216" s="7">
        <f t="shared" si="467"/>
        <v>0</v>
      </c>
      <c r="J216" s="7">
        <v>0</v>
      </c>
      <c r="K216" s="7">
        <v>0</v>
      </c>
      <c r="L216" s="7">
        <f t="shared" si="468"/>
        <v>0</v>
      </c>
      <c r="M216" s="7">
        <f t="shared" si="469"/>
        <v>0</v>
      </c>
      <c r="N216" s="7">
        <v>0</v>
      </c>
      <c r="O216" s="7">
        <v>0</v>
      </c>
      <c r="P216" s="7">
        <f t="shared" si="470"/>
        <v>340000</v>
      </c>
      <c r="Q216" s="7">
        <f t="shared" si="471"/>
        <v>100</v>
      </c>
      <c r="R216" s="7">
        <f t="shared" si="472"/>
        <v>0</v>
      </c>
      <c r="S216" s="7">
        <f t="shared" si="473"/>
        <v>340000</v>
      </c>
    </row>
    <row r="217" spans="1:19" ht="30" customHeight="1" x14ac:dyDescent="0.5">
      <c r="A217" s="15">
        <v>197</v>
      </c>
      <c r="B217" s="53" t="str">
        <f>[23]รายการสรุป!$E$12</f>
        <v>ปรับปรุงระบบส่งน้ำอ่างเก็บน้ำแม่ทก(ฝายวังต้นคำ) โครงการชลประทานลำปาง จ.ลำปาง</v>
      </c>
      <c r="C217" s="24" t="str">
        <f>[23]รายการสรุป!$I$12</f>
        <v>0700341027420105</v>
      </c>
      <c r="D217" s="6" t="s">
        <v>38</v>
      </c>
      <c r="E217" s="7">
        <f t="shared" si="465"/>
        <v>220000</v>
      </c>
      <c r="F217" s="7">
        <v>0</v>
      </c>
      <c r="G217" s="8">
        <f>[23]รายการสรุป!$J$12</f>
        <v>220000</v>
      </c>
      <c r="H217" s="7">
        <f t="shared" si="466"/>
        <v>38800</v>
      </c>
      <c r="I217" s="7">
        <f t="shared" si="467"/>
        <v>17.636363636363637</v>
      </c>
      <c r="J217" s="7">
        <v>0</v>
      </c>
      <c r="K217" s="7">
        <f>7500+31300</f>
        <v>38800</v>
      </c>
      <c r="L217" s="7">
        <f t="shared" si="468"/>
        <v>0</v>
      </c>
      <c r="M217" s="7">
        <f t="shared" si="469"/>
        <v>0</v>
      </c>
      <c r="N217" s="7">
        <v>0</v>
      </c>
      <c r="O217" s="7">
        <v>0</v>
      </c>
      <c r="P217" s="7">
        <f t="shared" si="470"/>
        <v>181200</v>
      </c>
      <c r="Q217" s="7">
        <f t="shared" si="471"/>
        <v>82.36363636363636</v>
      </c>
      <c r="R217" s="7">
        <f t="shared" si="472"/>
        <v>0</v>
      </c>
      <c r="S217" s="7">
        <f t="shared" si="473"/>
        <v>181200</v>
      </c>
    </row>
    <row r="218" spans="1:19" ht="30" customHeight="1" x14ac:dyDescent="0.5">
      <c r="A218" s="15">
        <v>198</v>
      </c>
      <c r="B218" s="53" t="str">
        <f>[23]รายการสรุป!$E$13</f>
        <v>ปรับปรุงคลองซอย 18.3L-RMC กิ่วลมโครงการส่งน้ำและบำรุงรักษากิ่วลม-กิ่วคอหมา จ.ลำปาง</v>
      </c>
      <c r="C218" s="24" t="str">
        <f>[23]รายการสรุป!$I$13</f>
        <v>0700341027420081</v>
      </c>
      <c r="D218" s="6" t="s">
        <v>38</v>
      </c>
      <c r="E218" s="7">
        <f t="shared" ref="E218:E227" si="474">F218+G218</f>
        <v>470000</v>
      </c>
      <c r="F218" s="7">
        <v>0</v>
      </c>
      <c r="G218" s="8">
        <f>[23]รายการสรุป!$J$13</f>
        <v>470000</v>
      </c>
      <c r="H218" s="7">
        <f t="shared" ref="H218" si="475">J218+K218</f>
        <v>403439.35</v>
      </c>
      <c r="I218" s="7">
        <f t="shared" ref="I218" si="476">H218*100/E218</f>
        <v>85.838159574468079</v>
      </c>
      <c r="J218" s="7">
        <v>0</v>
      </c>
      <c r="K218" s="7">
        <f>10591+51120+9409.9+33747+2080+2320+51120+9280+35638.7+3120+5200+36750+1040+3120+94332.55+54570.2</f>
        <v>403439.35</v>
      </c>
      <c r="L218" s="7">
        <f t="shared" ref="L218" si="477">N218+O218</f>
        <v>0</v>
      </c>
      <c r="M218" s="7">
        <f t="shared" ref="M218" si="478">L218*100/E218</f>
        <v>0</v>
      </c>
      <c r="N218" s="7">
        <v>0</v>
      </c>
      <c r="O218" s="7">
        <v>0</v>
      </c>
      <c r="P218" s="7">
        <f t="shared" ref="P218" si="479">R218+S218</f>
        <v>66560.650000000023</v>
      </c>
      <c r="Q218" s="7">
        <f t="shared" ref="Q218" si="480">P218*100/E218</f>
        <v>14.161840425531919</v>
      </c>
      <c r="R218" s="7">
        <f t="shared" ref="R218" si="481">F218-J218-N218</f>
        <v>0</v>
      </c>
      <c r="S218" s="7">
        <f t="shared" ref="S218" si="482">G218-K218-O218</f>
        <v>66560.650000000023</v>
      </c>
    </row>
    <row r="219" spans="1:19" ht="47.25" customHeight="1" x14ac:dyDescent="0.5">
      <c r="A219" s="15">
        <v>199</v>
      </c>
      <c r="B219" s="53" t="str">
        <f>[23]รายการสรุป!$E$14</f>
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</c>
      <c r="C219" s="25" t="str">
        <f>[23]รายการสรุป!$I$14</f>
        <v>0700341027410206</v>
      </c>
      <c r="D219" s="6" t="s">
        <v>38</v>
      </c>
      <c r="E219" s="7">
        <f t="shared" ref="E219" si="483">F219+G219</f>
        <v>132000</v>
      </c>
      <c r="F219" s="7">
        <v>0</v>
      </c>
      <c r="G219" s="8">
        <f>[23]รายการสรุป!$J$14</f>
        <v>132000</v>
      </c>
      <c r="H219" s="7">
        <f t="shared" ref="H219" si="484">J219+K219</f>
        <v>0</v>
      </c>
      <c r="I219" s="7">
        <f t="shared" ref="I219" si="485">H219*100/E219</f>
        <v>0</v>
      </c>
      <c r="J219" s="7">
        <v>0</v>
      </c>
      <c r="K219" s="7">
        <v>0</v>
      </c>
      <c r="L219" s="7">
        <f t="shared" ref="L219" si="486">N219+O219</f>
        <v>0</v>
      </c>
      <c r="M219" s="7">
        <f t="shared" ref="M219" si="487">L219*100/E219</f>
        <v>0</v>
      </c>
      <c r="N219" s="7">
        <v>0</v>
      </c>
      <c r="O219" s="7">
        <v>0</v>
      </c>
      <c r="P219" s="7">
        <f t="shared" ref="P219" si="488">R219+S219</f>
        <v>132000</v>
      </c>
      <c r="Q219" s="7">
        <f t="shared" ref="Q219" si="489">P219*100/E219</f>
        <v>100</v>
      </c>
      <c r="R219" s="7">
        <f t="shared" ref="R219" si="490">F219-J219-N219</f>
        <v>0</v>
      </c>
      <c r="S219" s="7">
        <f t="shared" ref="S219" si="491">G219-K219-O219</f>
        <v>132000</v>
      </c>
    </row>
    <row r="220" spans="1:19" ht="47.25" customHeight="1" x14ac:dyDescent="0.5">
      <c r="A220" s="15">
        <v>200</v>
      </c>
      <c r="B220" s="53" t="str">
        <f>[23]รายการสรุป!$E$15</f>
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</c>
      <c r="C220" s="25" t="str">
        <f>[23]รายการสรุป!$I$15</f>
        <v>0700341027420201</v>
      </c>
      <c r="D220" s="6" t="s">
        <v>38</v>
      </c>
      <c r="E220" s="7">
        <f t="shared" ref="E220:E222" si="492">F220+G220</f>
        <v>471000</v>
      </c>
      <c r="F220" s="7">
        <v>0</v>
      </c>
      <c r="G220" s="8">
        <f>[23]รายการสรุป!$J$15</f>
        <v>471000</v>
      </c>
      <c r="H220" s="7">
        <f t="shared" ref="H220:H221" si="493">J220+K220</f>
        <v>225957.95</v>
      </c>
      <c r="I220" s="7">
        <f t="shared" ref="I220:I221" si="494">H220*100/E220</f>
        <v>47.974087048832274</v>
      </c>
      <c r="J220" s="7">
        <v>0</v>
      </c>
      <c r="K220" s="7">
        <f>44163+44163+50794.45+37854+10383+1280+33815.5+3505</f>
        <v>225957.95</v>
      </c>
      <c r="L220" s="7">
        <f t="shared" ref="L220:L221" si="495">N220+O220</f>
        <v>0</v>
      </c>
      <c r="M220" s="7">
        <f t="shared" ref="M220:M221" si="496">L220*100/E220</f>
        <v>0</v>
      </c>
      <c r="N220" s="7">
        <v>0</v>
      </c>
      <c r="O220" s="7">
        <v>0</v>
      </c>
      <c r="P220" s="7">
        <f t="shared" ref="P220:P221" si="497">R220+S220</f>
        <v>245042.05</v>
      </c>
      <c r="Q220" s="7">
        <f t="shared" ref="Q220:Q222" si="498">P220*100/E220</f>
        <v>52.025912951167726</v>
      </c>
      <c r="R220" s="7">
        <f t="shared" ref="R220:R221" si="499">F220-J220-N220</f>
        <v>0</v>
      </c>
      <c r="S220" s="7">
        <f t="shared" ref="S220:S221" si="500">G220-K220-O220</f>
        <v>245042.05</v>
      </c>
    </row>
    <row r="221" spans="1:19" ht="44.25" customHeight="1" x14ac:dyDescent="0.5">
      <c r="A221" s="15">
        <v>201</v>
      </c>
      <c r="B221" s="53" t="str">
        <f>[23]รายการสรุป!$E$16</f>
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</c>
      <c r="C221" s="25" t="str">
        <f>[23]รายการสรุป!$I$16</f>
        <v>0700341027420202</v>
      </c>
      <c r="D221" s="6" t="s">
        <v>38</v>
      </c>
      <c r="E221" s="7">
        <f t="shared" si="492"/>
        <v>550000</v>
      </c>
      <c r="F221" s="7">
        <v>0</v>
      </c>
      <c r="G221" s="8">
        <f>[23]รายการสรุป!$J$16</f>
        <v>550000</v>
      </c>
      <c r="H221" s="7">
        <f t="shared" si="493"/>
        <v>415142.75000000006</v>
      </c>
      <c r="I221" s="7">
        <f t="shared" si="494"/>
        <v>75.480500000000021</v>
      </c>
      <c r="J221" s="7">
        <v>0</v>
      </c>
      <c r="K221" s="7">
        <f>41323.95+15000+3000+3001.8+4520+46055.7+21718.9+22562+7035+14512.7+21695.5+7256.35+9159+2080+6309+1040+2953.6+15520+79819.85+45159.4+45420</f>
        <v>415142.75000000006</v>
      </c>
      <c r="L221" s="7">
        <f t="shared" si="495"/>
        <v>0</v>
      </c>
      <c r="M221" s="7">
        <f t="shared" si="496"/>
        <v>0</v>
      </c>
      <c r="N221" s="7">
        <v>0</v>
      </c>
      <c r="O221" s="7">
        <v>0</v>
      </c>
      <c r="P221" s="7">
        <f t="shared" si="497"/>
        <v>134857.24999999994</v>
      </c>
      <c r="Q221" s="7">
        <f t="shared" si="498"/>
        <v>24.51949999999999</v>
      </c>
      <c r="R221" s="7">
        <f t="shared" si="499"/>
        <v>0</v>
      </c>
      <c r="S221" s="7">
        <f t="shared" si="500"/>
        <v>134857.24999999994</v>
      </c>
    </row>
    <row r="222" spans="1:19" ht="35.25" customHeight="1" x14ac:dyDescent="0.5">
      <c r="A222" s="15"/>
      <c r="B222" s="48" t="s">
        <v>50</v>
      </c>
      <c r="C222" s="63"/>
      <c r="D222" s="63"/>
      <c r="E222" s="49">
        <f t="shared" si="492"/>
        <v>536000</v>
      </c>
      <c r="F222" s="49">
        <f>SUM(F223)</f>
        <v>0</v>
      </c>
      <c r="G222" s="49">
        <f>SUM(G223)</f>
        <v>536000</v>
      </c>
      <c r="H222" s="49">
        <f>J222+K222</f>
        <v>183690.84999999998</v>
      </c>
      <c r="I222" s="49">
        <f>H222*100/E222</f>
        <v>34.27068097014925</v>
      </c>
      <c r="J222" s="49">
        <f>SUM(J223)</f>
        <v>0</v>
      </c>
      <c r="K222" s="49">
        <f>SUM(K223)</f>
        <v>183690.84999999998</v>
      </c>
      <c r="L222" s="49">
        <f>N222+O222</f>
        <v>0</v>
      </c>
      <c r="M222" s="48"/>
      <c r="N222" s="49">
        <f>SUM(N226:N249)</f>
        <v>0</v>
      </c>
      <c r="O222" s="49">
        <f>SUM(O223)</f>
        <v>0</v>
      </c>
      <c r="P222" s="49">
        <f>R222+S222</f>
        <v>352309.15</v>
      </c>
      <c r="Q222" s="7">
        <f t="shared" si="498"/>
        <v>65.729319029850743</v>
      </c>
      <c r="R222" s="49">
        <f>SUM(R223)</f>
        <v>0</v>
      </c>
      <c r="S222" s="49">
        <f>G222-K222-O222</f>
        <v>352309.15</v>
      </c>
    </row>
    <row r="223" spans="1:19" ht="36.75" customHeight="1" x14ac:dyDescent="0.5">
      <c r="A223" s="15">
        <v>202</v>
      </c>
      <c r="B223" s="53" t="str">
        <f>[24]รายการสรุป!$E$5</f>
        <v>ปรับปรุงดาดคอนกรีตคลอง 2 L-LMC ฝายสาและอาคารประกอบโครงการชลประทานน่าน</v>
      </c>
      <c r="C223" s="25" t="str">
        <f>[24]รายการสรุป!$I$5</f>
        <v>0700341027420102</v>
      </c>
      <c r="D223" s="6" t="s">
        <v>49</v>
      </c>
      <c r="E223" s="7">
        <f t="shared" ref="E223:E224" si="501">F223+G223</f>
        <v>536000</v>
      </c>
      <c r="F223" s="7">
        <v>0</v>
      </c>
      <c r="G223" s="8">
        <f>[24]รายการสรุป!$J$5</f>
        <v>536000</v>
      </c>
      <c r="H223" s="7">
        <f t="shared" ref="H223" si="502">J223+K223</f>
        <v>183690.84999999998</v>
      </c>
      <c r="I223" s="7">
        <f t="shared" ref="I223" si="503">H223*100/E223</f>
        <v>34.27068097014925</v>
      </c>
      <c r="J223" s="7">
        <v>0</v>
      </c>
      <c r="K223" s="7">
        <f>18927+12600+18927+21310+21769.05+15040+36000+18927+20190.8</f>
        <v>183690.84999999998</v>
      </c>
      <c r="L223" s="7">
        <f t="shared" ref="L223" si="504">N223+O223</f>
        <v>0</v>
      </c>
      <c r="M223" s="7">
        <f t="shared" ref="M223" si="505">L223*100/E223</f>
        <v>0</v>
      </c>
      <c r="N223" s="7">
        <v>0</v>
      </c>
      <c r="O223" s="7">
        <v>0</v>
      </c>
      <c r="P223" s="7">
        <f t="shared" ref="P223" si="506">R223+S223</f>
        <v>352309.15</v>
      </c>
      <c r="Q223" s="7">
        <f t="shared" ref="Q223:Q224" si="507">P223*100/E223</f>
        <v>65.729319029850743</v>
      </c>
      <c r="R223" s="7">
        <f t="shared" ref="R223" si="508">F223-J223-N223</f>
        <v>0</v>
      </c>
      <c r="S223" s="7">
        <f t="shared" ref="S223" si="509">G223-K223-O223</f>
        <v>352309.15</v>
      </c>
    </row>
    <row r="224" spans="1:19" ht="28.5" customHeight="1" x14ac:dyDescent="0.5">
      <c r="A224" s="15"/>
      <c r="B224" s="48" t="s">
        <v>51</v>
      </c>
      <c r="C224" s="63"/>
      <c r="D224" s="63"/>
      <c r="E224" s="49">
        <f t="shared" si="501"/>
        <v>484700</v>
      </c>
      <c r="F224" s="49">
        <f>SUM(F225)</f>
        <v>0</v>
      </c>
      <c r="G224" s="49">
        <f>SUM(G225)</f>
        <v>484700</v>
      </c>
      <c r="H224" s="49">
        <f>J224+K224</f>
        <v>266284.15000000002</v>
      </c>
      <c r="I224" s="49">
        <f>H224*100/E224</f>
        <v>54.937930678770378</v>
      </c>
      <c r="J224" s="49">
        <f>SUM(J225)</f>
        <v>0</v>
      </c>
      <c r="K224" s="49">
        <f>SUM(K225)</f>
        <v>266284.15000000002</v>
      </c>
      <c r="L224" s="49">
        <f>N224+O224</f>
        <v>0</v>
      </c>
      <c r="M224" s="48"/>
      <c r="N224" s="49">
        <f>SUM(N229:N276)</f>
        <v>0</v>
      </c>
      <c r="O224" s="49">
        <f>SUM(O225)</f>
        <v>0</v>
      </c>
      <c r="P224" s="49">
        <f>R224+S224</f>
        <v>218415.84999999998</v>
      </c>
      <c r="Q224" s="7">
        <f t="shared" si="507"/>
        <v>45.062069321229622</v>
      </c>
      <c r="R224" s="49">
        <f>F224-J224-N224</f>
        <v>0</v>
      </c>
      <c r="S224" s="49">
        <f>G224-K224-O224</f>
        <v>218415.84999999998</v>
      </c>
    </row>
    <row r="225" spans="1:20" ht="47.25" customHeight="1" x14ac:dyDescent="0.5">
      <c r="A225" s="15">
        <v>203</v>
      </c>
      <c r="B225" s="53" t="str">
        <f>[25]รายการสรุป!$E$5</f>
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</c>
      <c r="C225" s="25" t="str">
        <f>[25]รายการสรุป!$I$5</f>
        <v>0700341027420005</v>
      </c>
      <c r="D225" s="6" t="s">
        <v>49</v>
      </c>
      <c r="E225" s="7">
        <f t="shared" ref="E225" si="510">F225+G225</f>
        <v>484700</v>
      </c>
      <c r="F225" s="7">
        <v>0</v>
      </c>
      <c r="G225" s="8">
        <f>[25]รายการสรุป!$J$5</f>
        <v>484700</v>
      </c>
      <c r="H225" s="7">
        <f t="shared" ref="H225" si="511">J225+K225</f>
        <v>266284.15000000002</v>
      </c>
      <c r="I225" s="7">
        <f t="shared" ref="I225" si="512">H225*100/E225</f>
        <v>54.937930678770378</v>
      </c>
      <c r="J225" s="7">
        <v>0</v>
      </c>
      <c r="K225" s="7">
        <f>2560+8816+17950+50472+78228.8+1280+1040+6240+4778+21453.6+36281.75+11866+25318</f>
        <v>266284.15000000002</v>
      </c>
      <c r="L225" s="7">
        <f t="shared" ref="L225" si="513">N225+O225</f>
        <v>0</v>
      </c>
      <c r="M225" s="7">
        <f t="shared" ref="M225" si="514">L225*100/E225</f>
        <v>0</v>
      </c>
      <c r="N225" s="7">
        <v>0</v>
      </c>
      <c r="O225" s="7">
        <v>0</v>
      </c>
      <c r="P225" s="7">
        <f t="shared" ref="P225" si="515">R225+S225</f>
        <v>218415.84999999998</v>
      </c>
      <c r="Q225" s="7">
        <f t="shared" ref="Q225" si="516">P225*100/E225</f>
        <v>45.062069321229622</v>
      </c>
      <c r="R225" s="7">
        <f t="shared" ref="R225" si="517">F225-J225-N225</f>
        <v>0</v>
      </c>
      <c r="S225" s="7">
        <f t="shared" ref="S225" si="518">G225-K225-O225</f>
        <v>218415.84999999998</v>
      </c>
    </row>
    <row r="226" spans="1:20" ht="30" customHeight="1" x14ac:dyDescent="0.5">
      <c r="A226" s="15"/>
      <c r="B226" s="50" t="s">
        <v>44</v>
      </c>
      <c r="C226" s="65"/>
      <c r="D226" s="62"/>
      <c r="E226" s="51">
        <f t="shared" si="474"/>
        <v>19718300</v>
      </c>
      <c r="F226" s="52">
        <f>F227+F234</f>
        <v>0</v>
      </c>
      <c r="G226" s="51">
        <f>G227+G234+G245+G250+G252+G262+G267+G271+G273</f>
        <v>19718300</v>
      </c>
      <c r="H226" s="52">
        <f>J226+K226</f>
        <v>12531047.33</v>
      </c>
      <c r="I226" s="52">
        <f>H226*100/E226</f>
        <v>63.55034323445733</v>
      </c>
      <c r="J226" s="50">
        <v>0</v>
      </c>
      <c r="K226" s="52">
        <f>K227+K234+K245+K250+K252+K262+K267+K271+K273</f>
        <v>12531047.33</v>
      </c>
      <c r="L226" s="52">
        <f>N226+O226</f>
        <v>0</v>
      </c>
      <c r="M226" s="50">
        <f>L226*100/E226</f>
        <v>0</v>
      </c>
      <c r="N226" s="50">
        <v>0</v>
      </c>
      <c r="O226" s="52">
        <f>O227+O234+O245+O250+O252+O262+O267+O271</f>
        <v>0</v>
      </c>
      <c r="P226" s="52">
        <f>R226+S226</f>
        <v>7187252.6699999999</v>
      </c>
      <c r="Q226" s="51">
        <f>P226*100/E226</f>
        <v>36.44965676554267</v>
      </c>
      <c r="R226" s="50">
        <v>0</v>
      </c>
      <c r="S226" s="52">
        <f>G226-K226-O226</f>
        <v>7187252.6699999999</v>
      </c>
      <c r="T226" s="26">
        <f>I226+Q226</f>
        <v>100</v>
      </c>
    </row>
    <row r="227" spans="1:20" ht="30.75" customHeight="1" x14ac:dyDescent="0.5">
      <c r="A227" s="15"/>
      <c r="B227" s="48" t="s">
        <v>57</v>
      </c>
      <c r="C227" s="63"/>
      <c r="D227" s="63"/>
      <c r="E227" s="61">
        <f t="shared" si="474"/>
        <v>2519000</v>
      </c>
      <c r="F227" s="49">
        <f>SUM(F228:F233)</f>
        <v>0</v>
      </c>
      <c r="G227" s="49">
        <f>SUM(G228:G233)</f>
        <v>2519000</v>
      </c>
      <c r="H227" s="48"/>
      <c r="I227" s="49">
        <f>H227*100/E227</f>
        <v>0</v>
      </c>
      <c r="J227" s="48"/>
      <c r="K227" s="49">
        <f>SUM(K228:K233)</f>
        <v>240000.2</v>
      </c>
      <c r="L227" s="48"/>
      <c r="M227" s="48"/>
      <c r="N227" s="48"/>
      <c r="O227" s="49">
        <f>SUM(O228:O233)</f>
        <v>0</v>
      </c>
      <c r="P227" s="49">
        <f>R227+S227</f>
        <v>2278999.7999999998</v>
      </c>
      <c r="Q227" s="49">
        <f>P227*100/E227</f>
        <v>90.472401746724884</v>
      </c>
      <c r="R227" s="49">
        <v>0</v>
      </c>
      <c r="S227" s="49">
        <f>G227-K227-O227</f>
        <v>2278999.7999999998</v>
      </c>
    </row>
    <row r="228" spans="1:20" ht="37.5" customHeight="1" x14ac:dyDescent="0.5">
      <c r="A228" s="15">
        <v>204</v>
      </c>
      <c r="B228" s="53" t="str">
        <f>[26]รายการสรุป!$E$5</f>
        <v>ฝายนาวัวพร้อมระบบส่งน้ำ อ.ปัว จ.น่าน</v>
      </c>
      <c r="C228" s="24" t="str">
        <f>[26]รายการสรุป!$I$5</f>
        <v>0700341028420223</v>
      </c>
      <c r="D228" s="6" t="s">
        <v>38</v>
      </c>
      <c r="E228" s="7">
        <f t="shared" ref="E228" si="519">F228+G228</f>
        <v>491000</v>
      </c>
      <c r="F228" s="7">
        <v>0</v>
      </c>
      <c r="G228" s="8">
        <f>[26]รายการสรุป!$J$5</f>
        <v>491000</v>
      </c>
      <c r="H228" s="7">
        <f t="shared" ref="H228" si="520">J228+K228</f>
        <v>0</v>
      </c>
      <c r="I228" s="7">
        <f t="shared" ref="I228" si="521">H228*100/E228</f>
        <v>0</v>
      </c>
      <c r="J228" s="7">
        <v>0</v>
      </c>
      <c r="K228" s="7">
        <v>0</v>
      </c>
      <c r="L228" s="7">
        <f t="shared" ref="L228" si="522">N228+O228</f>
        <v>0</v>
      </c>
      <c r="M228" s="7">
        <f t="shared" ref="M228" si="523">L228*100/E228</f>
        <v>0</v>
      </c>
      <c r="N228" s="7">
        <v>0</v>
      </c>
      <c r="O228" s="7">
        <v>0</v>
      </c>
      <c r="P228" s="7">
        <f t="shared" ref="P228" si="524">R228+S228</f>
        <v>491000</v>
      </c>
      <c r="Q228" s="7">
        <f t="shared" ref="Q228" si="525">P228*100/E228</f>
        <v>100</v>
      </c>
      <c r="R228" s="7">
        <f t="shared" ref="R228" si="526">F228-J228-N228</f>
        <v>0</v>
      </c>
      <c r="S228" s="7">
        <f t="shared" ref="S228" si="527">G228-K228-O228</f>
        <v>491000</v>
      </c>
    </row>
    <row r="229" spans="1:20" ht="30" customHeight="1" x14ac:dyDescent="0.5">
      <c r="A229" s="15">
        <v>205</v>
      </c>
      <c r="B229" s="53" t="str">
        <f>[26]รายการสรุป!$E$6</f>
        <v>ฝายน้ำสางพร้อมระบบส่งน้ำ อ.บ่อเกลือ จ.น่าน</v>
      </c>
      <c r="C229" s="24" t="str">
        <f>[26]รายการสรุป!$I$6</f>
        <v>0700341028420158</v>
      </c>
      <c r="D229" s="6" t="s">
        <v>38</v>
      </c>
      <c r="E229" s="7">
        <f t="shared" ref="E229:E231" si="528">F229+G229</f>
        <v>473000</v>
      </c>
      <c r="F229" s="7">
        <v>0</v>
      </c>
      <c r="G229" s="8">
        <f>[26]รายการสรุป!$J$6</f>
        <v>473000</v>
      </c>
      <c r="H229" s="7">
        <f t="shared" ref="H229:H231" si="529">J229+K229</f>
        <v>129010.7</v>
      </c>
      <c r="I229" s="7">
        <f t="shared" ref="I229:I231" si="530">H229*100/E229</f>
        <v>27.274989429175477</v>
      </c>
      <c r="J229" s="7">
        <v>0</v>
      </c>
      <c r="K229" s="7">
        <f>49210.2+39240.5+6960+33600</f>
        <v>129010.7</v>
      </c>
      <c r="L229" s="7">
        <f t="shared" ref="L229:L231" si="531">N229+O229</f>
        <v>0</v>
      </c>
      <c r="M229" s="7">
        <f t="shared" ref="M229:M231" si="532">L229*100/E229</f>
        <v>0</v>
      </c>
      <c r="N229" s="7">
        <v>0</v>
      </c>
      <c r="O229" s="7">
        <v>0</v>
      </c>
      <c r="P229" s="7">
        <f t="shared" ref="P229:P231" si="533">R229+S229</f>
        <v>343989.3</v>
      </c>
      <c r="Q229" s="7">
        <f t="shared" ref="Q229:Q231" si="534">P229*100/E229</f>
        <v>72.725010570824523</v>
      </c>
      <c r="R229" s="7">
        <f t="shared" ref="R229:R231" si="535">F229-J229-N229</f>
        <v>0</v>
      </c>
      <c r="S229" s="7">
        <f t="shared" ref="S229:S231" si="536">G229-K229-O229</f>
        <v>343989.3</v>
      </c>
    </row>
    <row r="230" spans="1:20" ht="30" customHeight="1" x14ac:dyDescent="0.5">
      <c r="A230" s="15">
        <v>206</v>
      </c>
      <c r="B230" s="53" t="str">
        <f>[26]รายการสรุป!$E$7</f>
        <v>ฝายห้วยโป่ง อ.เวียงแก่น จ.เชียงราย</v>
      </c>
      <c r="C230" s="24" t="str">
        <f>[26]รายการสรุป!$I$7</f>
        <v>0700341028410044</v>
      </c>
      <c r="D230" s="6" t="s">
        <v>38</v>
      </c>
      <c r="E230" s="7">
        <f t="shared" si="528"/>
        <v>0</v>
      </c>
      <c r="F230" s="7">
        <v>0</v>
      </c>
      <c r="G230" s="8">
        <f>[26]รายการสรุป!$J$7</f>
        <v>0</v>
      </c>
      <c r="H230" s="7">
        <f t="shared" si="529"/>
        <v>0</v>
      </c>
      <c r="I230" s="7" t="e">
        <f t="shared" si="530"/>
        <v>#DIV/0!</v>
      </c>
      <c r="J230" s="7">
        <v>0</v>
      </c>
      <c r="K230" s="7">
        <v>0</v>
      </c>
      <c r="L230" s="7">
        <f t="shared" si="531"/>
        <v>0</v>
      </c>
      <c r="M230" s="7" t="e">
        <f t="shared" si="532"/>
        <v>#DIV/0!</v>
      </c>
      <c r="N230" s="7">
        <v>0</v>
      </c>
      <c r="O230" s="7">
        <v>0</v>
      </c>
      <c r="P230" s="7">
        <f t="shared" si="533"/>
        <v>0</v>
      </c>
      <c r="Q230" s="7" t="e">
        <f t="shared" si="534"/>
        <v>#DIV/0!</v>
      </c>
      <c r="R230" s="7">
        <f t="shared" si="535"/>
        <v>0</v>
      </c>
      <c r="S230" s="7">
        <f t="shared" si="536"/>
        <v>0</v>
      </c>
      <c r="T230" s="1" t="s">
        <v>83</v>
      </c>
    </row>
    <row r="231" spans="1:20" ht="30" customHeight="1" x14ac:dyDescent="0.5">
      <c r="A231" s="15">
        <v>207</v>
      </c>
      <c r="B231" s="53" t="str">
        <f>[26]รายการสรุป!$E$8</f>
        <v>อ่างเก็บน้ำแม่อางพร้อมระบบส่งน้ำ อ.แม่ทะ จ.ลำปาง</v>
      </c>
      <c r="C231" s="24" t="str">
        <f>[26]รายการสรุป!$I$8</f>
        <v>0700341028420124</v>
      </c>
      <c r="D231" s="6" t="s">
        <v>38</v>
      </c>
      <c r="E231" s="7">
        <f t="shared" si="528"/>
        <v>518000</v>
      </c>
      <c r="F231" s="7">
        <v>0</v>
      </c>
      <c r="G231" s="8">
        <f>[26]รายการสรุป!$J$8</f>
        <v>518000</v>
      </c>
      <c r="H231" s="7">
        <f t="shared" si="529"/>
        <v>0</v>
      </c>
      <c r="I231" s="7">
        <f t="shared" si="530"/>
        <v>0</v>
      </c>
      <c r="J231" s="7">
        <v>0</v>
      </c>
      <c r="K231" s="7">
        <v>0</v>
      </c>
      <c r="L231" s="7">
        <f t="shared" si="531"/>
        <v>0</v>
      </c>
      <c r="M231" s="7">
        <f t="shared" si="532"/>
        <v>0</v>
      </c>
      <c r="N231" s="7">
        <v>0</v>
      </c>
      <c r="O231" s="7">
        <v>0</v>
      </c>
      <c r="P231" s="7">
        <f t="shared" si="533"/>
        <v>518000</v>
      </c>
      <c r="Q231" s="7">
        <f t="shared" si="534"/>
        <v>100</v>
      </c>
      <c r="R231" s="7">
        <f t="shared" si="535"/>
        <v>0</v>
      </c>
      <c r="S231" s="7">
        <f t="shared" si="536"/>
        <v>518000</v>
      </c>
    </row>
    <row r="232" spans="1:20" ht="30" customHeight="1" x14ac:dyDescent="0.5">
      <c r="A232" s="15">
        <v>208</v>
      </c>
      <c r="B232" s="53" t="str">
        <f>[26]รายการสรุป!$E$9</f>
        <v>ฝายมะโอพร้อมระบบส่งน้ำ อ.เทิง จ.เชียงราย</v>
      </c>
      <c r="C232" s="24" t="str">
        <f>[26]รายการสรุป!$I$9</f>
        <v>0700341028420189</v>
      </c>
      <c r="D232" s="6" t="s">
        <v>52</v>
      </c>
      <c r="E232" s="7">
        <f t="shared" ref="E232:E234" si="537">F232+G232</f>
        <v>489700</v>
      </c>
      <c r="F232" s="7">
        <v>0</v>
      </c>
      <c r="G232" s="8">
        <f>[26]รายการสรุป!$J$9</f>
        <v>489700</v>
      </c>
      <c r="H232" s="7">
        <f t="shared" ref="H232:H233" si="538">J232+K232</f>
        <v>0</v>
      </c>
      <c r="I232" s="7">
        <f t="shared" ref="I232:I233" si="539">H232*100/E232</f>
        <v>0</v>
      </c>
      <c r="J232" s="7">
        <v>0</v>
      </c>
      <c r="K232" s="7">
        <v>0</v>
      </c>
      <c r="L232" s="7">
        <f t="shared" ref="L232:L233" si="540">N232+O232</f>
        <v>0</v>
      </c>
      <c r="M232" s="7">
        <f t="shared" ref="M232:M233" si="541">L232*100/E232</f>
        <v>0</v>
      </c>
      <c r="N232" s="7">
        <v>0</v>
      </c>
      <c r="O232" s="7">
        <v>0</v>
      </c>
      <c r="P232" s="7">
        <f t="shared" ref="P232:P233" si="542">R232+S232</f>
        <v>489700</v>
      </c>
      <c r="Q232" s="7">
        <f t="shared" ref="Q232:Q234" si="543">P232*100/E232</f>
        <v>100</v>
      </c>
      <c r="R232" s="7">
        <f t="shared" ref="R232:R233" si="544">F232-J232-N232</f>
        <v>0</v>
      </c>
      <c r="S232" s="7">
        <f t="shared" ref="S232:S233" si="545">G232-K232-O232</f>
        <v>489700</v>
      </c>
    </row>
    <row r="233" spans="1:20" ht="30" customHeight="1" x14ac:dyDescent="0.5">
      <c r="A233" s="15">
        <v>209</v>
      </c>
      <c r="B233" s="53" t="str">
        <f>[26]รายการสรุป!$E$10</f>
        <v>อ่างเก็บน้ำห้วยแก่น อ.จุน จ.พะเยา</v>
      </c>
      <c r="C233" s="24" t="str">
        <f>[26]รายการสรุป!$I$10</f>
        <v>0700341028420222</v>
      </c>
      <c r="D233" s="6" t="s">
        <v>52</v>
      </c>
      <c r="E233" s="7">
        <f t="shared" si="537"/>
        <v>547300</v>
      </c>
      <c r="F233" s="7">
        <v>0</v>
      </c>
      <c r="G233" s="8">
        <f>[26]รายการสรุป!$J$10</f>
        <v>547300</v>
      </c>
      <c r="H233" s="7">
        <f t="shared" si="538"/>
        <v>110989.5</v>
      </c>
      <c r="I233" s="7">
        <f t="shared" si="539"/>
        <v>20.279462817467568</v>
      </c>
      <c r="J233" s="7">
        <v>0</v>
      </c>
      <c r="K233" s="7">
        <f>59935.5+51054</f>
        <v>110989.5</v>
      </c>
      <c r="L233" s="7">
        <f t="shared" si="540"/>
        <v>0</v>
      </c>
      <c r="M233" s="7">
        <f t="shared" si="541"/>
        <v>0</v>
      </c>
      <c r="N233" s="7">
        <v>0</v>
      </c>
      <c r="O233" s="7">
        <v>0</v>
      </c>
      <c r="P233" s="7">
        <f t="shared" si="542"/>
        <v>436310.5</v>
      </c>
      <c r="Q233" s="7">
        <f t="shared" si="543"/>
        <v>79.720537182532425</v>
      </c>
      <c r="R233" s="7">
        <f t="shared" si="544"/>
        <v>0</v>
      </c>
      <c r="S233" s="7">
        <f t="shared" si="545"/>
        <v>436310.5</v>
      </c>
    </row>
    <row r="234" spans="1:20" ht="36" customHeight="1" x14ac:dyDescent="0.5">
      <c r="A234" s="15"/>
      <c r="B234" s="48" t="s">
        <v>56</v>
      </c>
      <c r="C234" s="63"/>
      <c r="D234" s="63"/>
      <c r="E234" s="49">
        <f t="shared" si="537"/>
        <v>7683600</v>
      </c>
      <c r="F234" s="49">
        <f>SUM(F235)</f>
        <v>0</v>
      </c>
      <c r="G234" s="49">
        <f>SUM(G235:G244)</f>
        <v>7683600</v>
      </c>
      <c r="H234" s="49">
        <f>J234+K234</f>
        <v>5910257.8199999994</v>
      </c>
      <c r="I234" s="49">
        <f>H234*100/E234</f>
        <v>76.920425581758536</v>
      </c>
      <c r="J234" s="49">
        <f>SUM(J235:J244)</f>
        <v>0</v>
      </c>
      <c r="K234" s="49">
        <f>SUM(K235:K244)</f>
        <v>5910257.8199999994</v>
      </c>
      <c r="L234" s="49">
        <f>N234+O234</f>
        <v>0</v>
      </c>
      <c r="M234" s="48"/>
      <c r="N234" s="49">
        <f>SUM(N275:N286)</f>
        <v>0</v>
      </c>
      <c r="O234" s="49">
        <f>SUM(O235:O240)</f>
        <v>0</v>
      </c>
      <c r="P234" s="49">
        <f>R234+S234</f>
        <v>1773342.1800000006</v>
      </c>
      <c r="Q234" s="7">
        <f t="shared" si="543"/>
        <v>23.079574418241457</v>
      </c>
      <c r="R234" s="49">
        <f>SUM(R235)</f>
        <v>0</v>
      </c>
      <c r="S234" s="49">
        <f>G234-K234-O234</f>
        <v>1773342.1800000006</v>
      </c>
    </row>
    <row r="235" spans="1:20" ht="48.75" customHeight="1" x14ac:dyDescent="0.5">
      <c r="A235" s="15">
        <v>210</v>
      </c>
      <c r="B235" s="53" t="str">
        <f>[27]รายการสรุป!$E$5</f>
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</c>
      <c r="C235" s="24" t="str">
        <f>[27]รายการสรุป!$I$5</f>
        <v>0700341028420106</v>
      </c>
      <c r="D235" s="6" t="s">
        <v>55</v>
      </c>
      <c r="E235" s="7">
        <f t="shared" ref="E235" si="546">F235+G235</f>
        <v>2753000</v>
      </c>
      <c r="F235" s="7">
        <v>0</v>
      </c>
      <c r="G235" s="8">
        <f>[27]รายการสรุป!$J$5</f>
        <v>2753000</v>
      </c>
      <c r="H235" s="7">
        <f t="shared" ref="H235" si="547">J235+K235</f>
        <v>2774793.5599999996</v>
      </c>
      <c r="I235" s="7">
        <f t="shared" ref="I235" si="548">H235*100/E235</f>
        <v>100.79162949509623</v>
      </c>
      <c r="J235" s="7">
        <v>0</v>
      </c>
      <c r="K235" s="7">
        <f>24983.44+61387+145353.3+22188+53380+61071.75+99952.32+251415+495350+245280+99900+94054.9+65143.2+97450+85495+69214.65+86050+87000+85800+97500+87500+99500+93100+96850+69875</f>
        <v>2774793.5599999996</v>
      </c>
      <c r="L235" s="7">
        <f t="shared" ref="L235" si="549">N235+O235</f>
        <v>0</v>
      </c>
      <c r="M235" s="7">
        <f t="shared" ref="M235" si="550">L235*100/E235</f>
        <v>0</v>
      </c>
      <c r="N235" s="7">
        <v>0</v>
      </c>
      <c r="O235" s="7">
        <v>0</v>
      </c>
      <c r="P235" s="7">
        <f t="shared" ref="P235" si="551">R235+S235</f>
        <v>-21793.55999999959</v>
      </c>
      <c r="Q235" s="7">
        <f t="shared" ref="Q235" si="552">P235*100/E235</f>
        <v>-0.7916294950962437</v>
      </c>
      <c r="R235" s="7">
        <f t="shared" ref="R235" si="553">F235-J235-N235</f>
        <v>0</v>
      </c>
      <c r="S235" s="7">
        <f t="shared" ref="S235" si="554">G235-K235-O235</f>
        <v>-21793.55999999959</v>
      </c>
    </row>
    <row r="236" spans="1:20" ht="30" customHeight="1" x14ac:dyDescent="0.5">
      <c r="A236" s="15">
        <v>211</v>
      </c>
      <c r="B236" s="53" t="str">
        <f>[27]รายการสรุป!$E$6</f>
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</c>
      <c r="C236" s="24" t="str">
        <f>[27]รายการสรุป!$I$6</f>
        <v>0700341028420106</v>
      </c>
      <c r="D236" s="6" t="s">
        <v>55</v>
      </c>
      <c r="E236" s="7">
        <f t="shared" ref="E236:E245" si="555">F236+G236</f>
        <v>1446000</v>
      </c>
      <c r="F236" s="7">
        <v>0</v>
      </c>
      <c r="G236" s="8">
        <f>[27]รายการสรุป!$J$6</f>
        <v>1446000</v>
      </c>
      <c r="H236" s="7">
        <f t="shared" ref="H236" si="556">J236+K236</f>
        <v>1384204.29</v>
      </c>
      <c r="I236" s="7">
        <f t="shared" ref="I236" si="557">H236*100/E236</f>
        <v>95.726437759336093</v>
      </c>
      <c r="J236" s="7">
        <v>0</v>
      </c>
      <c r="K236" s="7">
        <f>84000+28000+77950+49122+95700.94+55335+85500+73110+82090+86710+84275+59150+43500+46962+98330.35+65143.2+85495+85500.45+98330.35</f>
        <v>1384204.29</v>
      </c>
      <c r="L236" s="7">
        <f t="shared" ref="L236" si="558">N236+O236</f>
        <v>0</v>
      </c>
      <c r="M236" s="7">
        <f t="shared" ref="M236" si="559">L236*100/E236</f>
        <v>0</v>
      </c>
      <c r="N236" s="7">
        <v>0</v>
      </c>
      <c r="O236" s="7">
        <v>0</v>
      </c>
      <c r="P236" s="7">
        <f t="shared" ref="P236" si="560">R236+S236</f>
        <v>61795.709999999963</v>
      </c>
      <c r="Q236" s="7">
        <f t="shared" ref="Q236:Q245" si="561">P236*100/E236</f>
        <v>4.2735622406638978</v>
      </c>
      <c r="R236" s="7">
        <f t="shared" ref="R236" si="562">F236-J236-N236</f>
        <v>0</v>
      </c>
      <c r="S236" s="7">
        <f t="shared" ref="S236" si="563">G236-K236-O236</f>
        <v>61795.709999999963</v>
      </c>
    </row>
    <row r="237" spans="1:20" ht="30" customHeight="1" x14ac:dyDescent="0.5">
      <c r="A237" s="15">
        <v>212</v>
      </c>
      <c r="B237" s="53" t="str">
        <f>[27]รายการสรุป!$E$7</f>
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</c>
      <c r="C237" s="24" t="str">
        <f>[27]รายการสรุป!$I$7</f>
        <v>0700341028420106</v>
      </c>
      <c r="D237" s="6" t="s">
        <v>87</v>
      </c>
      <c r="E237" s="7">
        <f t="shared" ref="E237" si="564">F237+G237</f>
        <v>831400</v>
      </c>
      <c r="F237" s="7">
        <v>0</v>
      </c>
      <c r="G237" s="8">
        <f>[27]รายการสรุป!$J$7</f>
        <v>831400</v>
      </c>
      <c r="H237" s="7">
        <f t="shared" ref="H237" si="565">J237+K237</f>
        <v>716574.99999999988</v>
      </c>
      <c r="I237" s="7">
        <f t="shared" ref="I237" si="566">H237*100/E237</f>
        <v>86.188958383449588</v>
      </c>
      <c r="J237" s="7">
        <v>0</v>
      </c>
      <c r="K237" s="7">
        <f>11483+69394+79000+5590+41143.3+89280+57230.2+6096+3040+42210+58101.6+48546.3+18320+49590+55481.6+7900+2250+25850+8566+4640+6546+11317+15000</f>
        <v>716574.99999999988</v>
      </c>
      <c r="L237" s="7">
        <f t="shared" ref="L237" si="567">N237+O237</f>
        <v>0</v>
      </c>
      <c r="M237" s="7">
        <f t="shared" ref="M237" si="568">L237*100/E237</f>
        <v>0</v>
      </c>
      <c r="N237" s="7">
        <v>0</v>
      </c>
      <c r="O237" s="7">
        <v>0</v>
      </c>
      <c r="P237" s="7">
        <f t="shared" ref="P237" si="569">R237+S237</f>
        <v>114825.00000000012</v>
      </c>
      <c r="Q237" s="7">
        <f t="shared" ref="Q237" si="570">P237*100/E237</f>
        <v>13.81104161655041</v>
      </c>
      <c r="R237" s="7">
        <f t="shared" ref="R237" si="571">F237-J237-N237</f>
        <v>0</v>
      </c>
      <c r="S237" s="7">
        <f t="shared" ref="S237" si="572">G237-K237-O237</f>
        <v>114825.00000000012</v>
      </c>
    </row>
    <row r="238" spans="1:20" ht="30" customHeight="1" x14ac:dyDescent="0.5">
      <c r="A238" s="15">
        <v>213</v>
      </c>
      <c r="B238" s="53" t="str">
        <f>[27]รายการสรุป!$E$8</f>
        <v>ค่าสำรวจธรณีและปฐพีวิทยาอ่างเก็บน้ำอ่างเก็บน้ำห้วยบ้าน อ.แม่สรวย จ.เชียงราย</v>
      </c>
      <c r="C238" s="24" t="str">
        <f>[27]รายการสรุป!$I$8</f>
        <v>0700341028420106</v>
      </c>
      <c r="D238" s="6" t="s">
        <v>87</v>
      </c>
      <c r="E238" s="7">
        <f t="shared" ref="E238:E240" si="573">F238+G238</f>
        <v>932500</v>
      </c>
      <c r="F238" s="7">
        <v>0</v>
      </c>
      <c r="G238" s="8">
        <f>[27]รายการสรุป!$J$8</f>
        <v>932500</v>
      </c>
      <c r="H238" s="7">
        <f t="shared" ref="H238:H240" si="574">J238+K238</f>
        <v>608730.47000000009</v>
      </c>
      <c r="I238" s="7">
        <f t="shared" ref="I238:I240" si="575">H238*100/E238</f>
        <v>65.279406970509385</v>
      </c>
      <c r="J238" s="7">
        <v>0</v>
      </c>
      <c r="K238" s="7">
        <f>26777.25+30989.9+8131+78270+96580+7726.92+14407+6640+65493+1860+35731.3+7229+83290+29887+12360+2800+6740+48546.3+2090+43181.8</f>
        <v>608730.47000000009</v>
      </c>
      <c r="L238" s="7">
        <f t="shared" ref="L238:L240" si="576">N238+O238</f>
        <v>0</v>
      </c>
      <c r="M238" s="7">
        <f t="shared" ref="M238:M240" si="577">L238*100/E238</f>
        <v>0</v>
      </c>
      <c r="N238" s="7">
        <v>0</v>
      </c>
      <c r="O238" s="7">
        <v>0</v>
      </c>
      <c r="P238" s="7">
        <f t="shared" ref="P238:P240" si="578">R238+S238</f>
        <v>323769.52999999991</v>
      </c>
      <c r="Q238" s="7">
        <f t="shared" ref="Q238:Q240" si="579">P238*100/E238</f>
        <v>34.720593029490608</v>
      </c>
      <c r="R238" s="7">
        <f t="shared" ref="R238:R240" si="580">F238-J238-N238</f>
        <v>0</v>
      </c>
      <c r="S238" s="7">
        <f t="shared" ref="S238:S240" si="581">G238-K238-O238</f>
        <v>323769.52999999991</v>
      </c>
    </row>
    <row r="239" spans="1:20" ht="30" customHeight="1" x14ac:dyDescent="0.5">
      <c r="A239" s="15">
        <v>214</v>
      </c>
      <c r="B239" s="53" t="str">
        <f>[27]รายการสรุป!$E$9</f>
        <v>ค่าสำรวจธรณีและปฐพีวิทยาอ่างเก็บน้ำอ่างเก็บน้ำห้วยแม่พริก อ.เสริมงาม จ.ลำปาง</v>
      </c>
      <c r="C239" s="24" t="str">
        <f>[27]รายการสรุป!$I$9</f>
        <v>0700341028420106</v>
      </c>
      <c r="D239" s="6" t="s">
        <v>87</v>
      </c>
      <c r="E239" s="7">
        <f t="shared" si="573"/>
        <v>915800</v>
      </c>
      <c r="F239" s="7">
        <v>0</v>
      </c>
      <c r="G239" s="8">
        <f>[27]รายการสรุป!$J$9</f>
        <v>915800</v>
      </c>
      <c r="H239" s="7">
        <f t="shared" si="574"/>
        <v>0</v>
      </c>
      <c r="I239" s="7">
        <f t="shared" si="575"/>
        <v>0</v>
      </c>
      <c r="J239" s="7">
        <v>0</v>
      </c>
      <c r="K239" s="7">
        <v>0</v>
      </c>
      <c r="L239" s="7">
        <f t="shared" si="576"/>
        <v>0</v>
      </c>
      <c r="M239" s="7">
        <f t="shared" si="577"/>
        <v>0</v>
      </c>
      <c r="N239" s="7">
        <v>0</v>
      </c>
      <c r="O239" s="7">
        <v>0</v>
      </c>
      <c r="P239" s="7">
        <f t="shared" si="578"/>
        <v>915800</v>
      </c>
      <c r="Q239" s="7">
        <f t="shared" si="579"/>
        <v>100</v>
      </c>
      <c r="R239" s="7">
        <f t="shared" si="580"/>
        <v>0</v>
      </c>
      <c r="S239" s="7">
        <f t="shared" si="581"/>
        <v>915800</v>
      </c>
    </row>
    <row r="240" spans="1:20" ht="45.75" customHeight="1" x14ac:dyDescent="0.5">
      <c r="A240" s="15">
        <v>215</v>
      </c>
      <c r="B240" s="53" t="str">
        <f>[27]รายการสรุป!$E$10</f>
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</c>
      <c r="C240" s="24" t="str">
        <f>[27]รายการสรุป!$I$10</f>
        <v>0700341028420106</v>
      </c>
      <c r="D240" s="6" t="s">
        <v>87</v>
      </c>
      <c r="E240" s="7">
        <f t="shared" si="573"/>
        <v>335200</v>
      </c>
      <c r="F240" s="7">
        <v>0</v>
      </c>
      <c r="G240" s="8">
        <f>[27]รายการสรุป!$J$10</f>
        <v>335200</v>
      </c>
      <c r="H240" s="7">
        <f t="shared" si="574"/>
        <v>194529.50000000006</v>
      </c>
      <c r="I240" s="7">
        <f t="shared" si="575"/>
        <v>58.033860381861601</v>
      </c>
      <c r="J240" s="7">
        <v>0</v>
      </c>
      <c r="K240" s="7">
        <f>43184+8800+62500+6309+4807.2+3360+4400+8800+7256.35+2646+4400+4807.2+2320+6309+3360+4807.2+7256.35+4400+4807.2</f>
        <v>194529.50000000006</v>
      </c>
      <c r="L240" s="7">
        <f t="shared" si="576"/>
        <v>0</v>
      </c>
      <c r="M240" s="7">
        <f t="shared" si="577"/>
        <v>0</v>
      </c>
      <c r="N240" s="7">
        <v>0</v>
      </c>
      <c r="O240" s="7">
        <v>0</v>
      </c>
      <c r="P240" s="7">
        <f t="shared" si="578"/>
        <v>140670.49999999994</v>
      </c>
      <c r="Q240" s="7">
        <f t="shared" si="579"/>
        <v>41.966139618138406</v>
      </c>
      <c r="R240" s="7">
        <f t="shared" si="580"/>
        <v>0</v>
      </c>
      <c r="S240" s="7">
        <f t="shared" si="581"/>
        <v>140670.49999999994</v>
      </c>
    </row>
    <row r="241" spans="1:20" ht="35.25" customHeight="1" x14ac:dyDescent="0.5">
      <c r="A241" s="15">
        <v>216</v>
      </c>
      <c r="B241" s="53" t="str">
        <f>[27]รายการสรุป!$E$11</f>
        <v>ค่าสำรวจธรณีและปฐพีวิทยาปรับปรุงทำนบดินอ่างฯห้วยขานอันเนื่องมาจากพระราชดำริ จ.พะเยา</v>
      </c>
      <c r="C241" s="24" t="str">
        <f>[27]รายการสรุป!$I$11</f>
        <v>0700341028420106</v>
      </c>
      <c r="D241" s="6" t="s">
        <v>93</v>
      </c>
      <c r="E241" s="7">
        <f t="shared" ref="E241" si="582">F241+G241</f>
        <v>144900</v>
      </c>
      <c r="F241" s="7">
        <v>0</v>
      </c>
      <c r="G241" s="8">
        <f>[27]รายการสรุป!$J$11</f>
        <v>144900</v>
      </c>
      <c r="H241" s="7">
        <f t="shared" ref="H241" si="583">J241+K241</f>
        <v>102645</v>
      </c>
      <c r="I241" s="7">
        <f t="shared" ref="I241" si="584">H241*100/E241</f>
        <v>70.838509316770185</v>
      </c>
      <c r="J241" s="7">
        <v>0</v>
      </c>
      <c r="K241" s="7">
        <f>12645+90000</f>
        <v>102645</v>
      </c>
      <c r="L241" s="7">
        <f t="shared" ref="L241" si="585">N241+O241</f>
        <v>0</v>
      </c>
      <c r="M241" s="7">
        <f t="shared" ref="M241" si="586">L241*100/E241</f>
        <v>0</v>
      </c>
      <c r="N241" s="7">
        <v>0</v>
      </c>
      <c r="O241" s="7">
        <v>0</v>
      </c>
      <c r="P241" s="7">
        <f t="shared" ref="P241" si="587">R241+S241</f>
        <v>42255</v>
      </c>
      <c r="Q241" s="7">
        <f t="shared" ref="Q241" si="588">P241*100/E241</f>
        <v>29.161490683229815</v>
      </c>
      <c r="R241" s="7">
        <f t="shared" ref="R241" si="589">F241-J241-N241</f>
        <v>0</v>
      </c>
      <c r="S241" s="7">
        <f t="shared" ref="S241" si="590">G241-K241-O241</f>
        <v>42255</v>
      </c>
    </row>
    <row r="242" spans="1:20" ht="40.5" customHeight="1" x14ac:dyDescent="0.5">
      <c r="A242" s="15">
        <v>217</v>
      </c>
      <c r="B242" s="53" t="str">
        <f>[27]รายการสรุป!$E$12</f>
        <v>ค่าสำรวจธรณีและปฐพีวิทยาปรับปรุงทำนบดินอ่างฯแม่ต๋ำอันเนื่องมาจากพระราชดำริ จ.พะเยา</v>
      </c>
      <c r="C242" s="24" t="str">
        <f>[27]รายการสรุป!$I$11</f>
        <v>0700341028420106</v>
      </c>
      <c r="D242" s="6" t="s">
        <v>93</v>
      </c>
      <c r="E242" s="7">
        <f t="shared" ref="E242:E244" si="591">F242+G242</f>
        <v>125500</v>
      </c>
      <c r="F242" s="7">
        <v>0</v>
      </c>
      <c r="G242" s="8">
        <f>[27]รายการสรุป!$J$12</f>
        <v>125500</v>
      </c>
      <c r="H242" s="7">
        <f t="shared" ref="H242:H244" si="592">J242+K242</f>
        <v>0</v>
      </c>
      <c r="I242" s="7">
        <f t="shared" ref="I242:I244" si="593">H242*100/E242</f>
        <v>0</v>
      </c>
      <c r="J242" s="7">
        <v>0</v>
      </c>
      <c r="K242" s="7">
        <v>0</v>
      </c>
      <c r="L242" s="7">
        <f t="shared" ref="L242:L244" si="594">N242+O242</f>
        <v>0</v>
      </c>
      <c r="M242" s="7">
        <f t="shared" ref="M242:M244" si="595">L242*100/E242</f>
        <v>0</v>
      </c>
      <c r="N242" s="7">
        <v>0</v>
      </c>
      <c r="O242" s="7">
        <v>0</v>
      </c>
      <c r="P242" s="7">
        <f t="shared" ref="P242:P244" si="596">R242+S242</f>
        <v>125500</v>
      </c>
      <c r="Q242" s="7">
        <f t="shared" ref="Q242:Q244" si="597">P242*100/E242</f>
        <v>100</v>
      </c>
      <c r="R242" s="7">
        <f t="shared" ref="R242:R244" si="598">F242-J242-N242</f>
        <v>0</v>
      </c>
      <c r="S242" s="7">
        <f t="shared" ref="S242:S244" si="599">G242-K242-O242</f>
        <v>125500</v>
      </c>
    </row>
    <row r="243" spans="1:20" ht="39.75" customHeight="1" x14ac:dyDescent="0.5">
      <c r="A243" s="15">
        <v>218</v>
      </c>
      <c r="B243" s="53" t="str">
        <f>[27]รายการสรุป!$E$13</f>
        <v>ค่าสำรวจธรณีและปฐพีวิทยาปรับปรุงทำนบดินอ่างฯห้วยเคียนอันเนื่องมาจากพระราชดำริ จ.พะเยา</v>
      </c>
      <c r="C243" s="24" t="str">
        <f>[27]รายการสรุป!$I$11</f>
        <v>0700341028420106</v>
      </c>
      <c r="D243" s="6" t="s">
        <v>93</v>
      </c>
      <c r="E243" s="7">
        <f t="shared" si="591"/>
        <v>100300</v>
      </c>
      <c r="F243" s="7">
        <v>0</v>
      </c>
      <c r="G243" s="8">
        <f>[27]รายการสรุป!$J$13</f>
        <v>100300</v>
      </c>
      <c r="H243" s="7">
        <f t="shared" si="592"/>
        <v>64680</v>
      </c>
      <c r="I243" s="7">
        <f t="shared" si="593"/>
        <v>64.48654037886341</v>
      </c>
      <c r="J243" s="7">
        <v>0</v>
      </c>
      <c r="K243" s="7">
        <f>64680</f>
        <v>64680</v>
      </c>
      <c r="L243" s="7">
        <f t="shared" si="594"/>
        <v>0</v>
      </c>
      <c r="M243" s="7">
        <f t="shared" si="595"/>
        <v>0</v>
      </c>
      <c r="N243" s="7">
        <v>0</v>
      </c>
      <c r="O243" s="7">
        <v>0</v>
      </c>
      <c r="P243" s="7">
        <f t="shared" si="596"/>
        <v>35620</v>
      </c>
      <c r="Q243" s="7">
        <f t="shared" si="597"/>
        <v>35.51345962113659</v>
      </c>
      <c r="R243" s="7">
        <f t="shared" si="598"/>
        <v>0</v>
      </c>
      <c r="S243" s="7">
        <f t="shared" si="599"/>
        <v>35620</v>
      </c>
    </row>
    <row r="244" spans="1:20" ht="39" customHeight="1" x14ac:dyDescent="0.5">
      <c r="A244" s="15">
        <v>219</v>
      </c>
      <c r="B244" s="53" t="str">
        <f>[27]รายการสรุป!$E$14</f>
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</c>
      <c r="C244" s="24" t="str">
        <f>[27]รายการสรุป!$I$11</f>
        <v>0700341028420106</v>
      </c>
      <c r="D244" s="6" t="s">
        <v>93</v>
      </c>
      <c r="E244" s="7">
        <f t="shared" si="591"/>
        <v>99000</v>
      </c>
      <c r="F244" s="7">
        <v>0</v>
      </c>
      <c r="G244" s="8">
        <f>[27]รายการสรุป!$J$14</f>
        <v>99000</v>
      </c>
      <c r="H244" s="7">
        <f t="shared" si="592"/>
        <v>64100</v>
      </c>
      <c r="I244" s="7">
        <f t="shared" si="593"/>
        <v>64.747474747474755</v>
      </c>
      <c r="J244" s="7">
        <v>0</v>
      </c>
      <c r="K244" s="7">
        <f>64100</f>
        <v>64100</v>
      </c>
      <c r="L244" s="7">
        <f t="shared" si="594"/>
        <v>0</v>
      </c>
      <c r="M244" s="7">
        <f t="shared" si="595"/>
        <v>0</v>
      </c>
      <c r="N244" s="7">
        <v>0</v>
      </c>
      <c r="O244" s="7">
        <v>0</v>
      </c>
      <c r="P244" s="7">
        <f t="shared" si="596"/>
        <v>34900</v>
      </c>
      <c r="Q244" s="7">
        <f t="shared" si="597"/>
        <v>35.252525252525253</v>
      </c>
      <c r="R244" s="7">
        <f t="shared" si="598"/>
        <v>0</v>
      </c>
      <c r="S244" s="7">
        <f t="shared" si="599"/>
        <v>34900</v>
      </c>
    </row>
    <row r="245" spans="1:20" ht="30" customHeight="1" x14ac:dyDescent="0.5">
      <c r="A245" s="15"/>
      <c r="B245" s="48" t="s">
        <v>58</v>
      </c>
      <c r="C245" s="63"/>
      <c r="D245" s="63"/>
      <c r="E245" s="49">
        <f t="shared" si="555"/>
        <v>3046500</v>
      </c>
      <c r="F245" s="49">
        <f>SUM(F246:F249)</f>
        <v>0</v>
      </c>
      <c r="G245" s="49">
        <f>SUM(G246:G249)</f>
        <v>3046500</v>
      </c>
      <c r="H245" s="49">
        <f>J245+K245</f>
        <v>3022070.8</v>
      </c>
      <c r="I245" s="49">
        <f>H245*100/E245</f>
        <v>99.198122435581809</v>
      </c>
      <c r="J245" s="49">
        <f>SUM(J253:J261)</f>
        <v>0</v>
      </c>
      <c r="K245" s="49">
        <f>SUM(K246:K249)</f>
        <v>3022070.8</v>
      </c>
      <c r="L245" s="49">
        <f>N245+O245</f>
        <v>0</v>
      </c>
      <c r="M245" s="48"/>
      <c r="N245" s="49">
        <f>SUM(N278:N286)</f>
        <v>0</v>
      </c>
      <c r="O245" s="49">
        <f>SUM(O246:O249)</f>
        <v>0</v>
      </c>
      <c r="P245" s="49">
        <f>R245+S245</f>
        <v>24429.200000000186</v>
      </c>
      <c r="Q245" s="7">
        <f t="shared" si="561"/>
        <v>0.80187756441819091</v>
      </c>
      <c r="R245" s="49">
        <f>F245-J245-N245</f>
        <v>0</v>
      </c>
      <c r="S245" s="49">
        <f>G245-K245-O245</f>
        <v>24429.200000000186</v>
      </c>
    </row>
    <row r="246" spans="1:20" ht="46.5" customHeight="1" x14ac:dyDescent="0.5">
      <c r="A246" s="15">
        <v>220</v>
      </c>
      <c r="B246" s="53" t="str">
        <f>[28]รายการสรุป!$E$5</f>
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</c>
      <c r="C246" s="24" t="str">
        <f>[28]รายการสรุป!$I$5</f>
        <v>0700341028420107</v>
      </c>
      <c r="D246" s="6" t="s">
        <v>55</v>
      </c>
      <c r="E246" s="7">
        <f t="shared" ref="E246" si="600">F246+G246</f>
        <v>620800</v>
      </c>
      <c r="F246" s="7">
        <v>0</v>
      </c>
      <c r="G246" s="8">
        <f>[28]รายการสรุป!$J$5</f>
        <v>620800</v>
      </c>
      <c r="H246" s="7">
        <f t="shared" ref="H246" si="601">J246+K246</f>
        <v>615401.69999999995</v>
      </c>
      <c r="I246" s="7">
        <f t="shared" ref="I246" si="602">H246*100/E246</f>
        <v>99.130428479381436</v>
      </c>
      <c r="J246" s="7">
        <v>0</v>
      </c>
      <c r="K246" s="7">
        <f>152699.8+58560+215158.9+84126+103800+1057</f>
        <v>615401.69999999995</v>
      </c>
      <c r="L246" s="7">
        <f t="shared" ref="L246" si="603">N246+O246</f>
        <v>0</v>
      </c>
      <c r="M246" s="7">
        <f t="shared" ref="M246" si="604">L246*100/E246</f>
        <v>0</v>
      </c>
      <c r="N246" s="7">
        <v>0</v>
      </c>
      <c r="O246" s="7">
        <v>0</v>
      </c>
      <c r="P246" s="7">
        <f t="shared" ref="P246" si="605">R246+S246</f>
        <v>5398.3000000000466</v>
      </c>
      <c r="Q246" s="7">
        <f t="shared" ref="Q246" si="606">P246*100/E246</f>
        <v>0.86957152061856424</v>
      </c>
      <c r="R246" s="7">
        <f t="shared" ref="R246" si="607">F246-J246-N246</f>
        <v>0</v>
      </c>
      <c r="S246" s="7">
        <f t="shared" ref="S246" si="608">G246-K246-O246</f>
        <v>5398.3000000000466</v>
      </c>
    </row>
    <row r="247" spans="1:20" ht="50.25" customHeight="1" x14ac:dyDescent="0.5">
      <c r="A247" s="15">
        <v>221</v>
      </c>
      <c r="B247" s="53" t="str">
        <f>[28]รายการสรุป!$E$6</f>
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</c>
      <c r="C247" s="24" t="str">
        <f>[28]รายการสรุป!$I$5</f>
        <v>0700341028420107</v>
      </c>
      <c r="D247" s="6" t="s">
        <v>55</v>
      </c>
      <c r="E247" s="7">
        <f t="shared" ref="E247:E250" si="609">F247+G247</f>
        <v>1036000</v>
      </c>
      <c r="F247" s="7">
        <v>0</v>
      </c>
      <c r="G247" s="8">
        <f>[28]รายการสรุป!$J$6</f>
        <v>1036000</v>
      </c>
      <c r="H247" s="7">
        <f t="shared" ref="H247:H249" si="610">J247+K247</f>
        <v>1022143.5</v>
      </c>
      <c r="I247" s="7">
        <f t="shared" ref="I247:I249" si="611">H247*100/E247</f>
        <v>98.662499999999994</v>
      </c>
      <c r="J247" s="7">
        <v>0</v>
      </c>
      <c r="K247" s="7">
        <f>138798+48072+59640+24426+159639.7+72108-7256.35-3605.4+66960+277280.55+54081+132000</f>
        <v>1022143.5</v>
      </c>
      <c r="L247" s="7">
        <f t="shared" ref="L247:L249" si="612">N247+O247</f>
        <v>0</v>
      </c>
      <c r="M247" s="7">
        <f t="shared" ref="M247:M249" si="613">L247*100/E247</f>
        <v>0</v>
      </c>
      <c r="N247" s="7">
        <v>0</v>
      </c>
      <c r="O247" s="7">
        <v>0</v>
      </c>
      <c r="P247" s="7">
        <f t="shared" ref="P247:P249" si="614">R247+S247</f>
        <v>13856.5</v>
      </c>
      <c r="Q247" s="7">
        <f t="shared" ref="Q247:Q250" si="615">P247*100/E247</f>
        <v>1.3374999999999999</v>
      </c>
      <c r="R247" s="7">
        <f t="shared" ref="R247:R249" si="616">F247-J247-N247</f>
        <v>0</v>
      </c>
      <c r="S247" s="7">
        <f t="shared" ref="S247:S249" si="617">G247-K247-O247</f>
        <v>13856.5</v>
      </c>
    </row>
    <row r="248" spans="1:20" ht="47.25" customHeight="1" x14ac:dyDescent="0.5">
      <c r="A248" s="15">
        <v>222</v>
      </c>
      <c r="B248" s="53" t="str">
        <f>[28]รายการสรุป!$E$7</f>
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</c>
      <c r="C248" s="24" t="str">
        <f>[28]รายการสรุป!$I$5</f>
        <v>0700341028420107</v>
      </c>
      <c r="D248" s="6" t="s">
        <v>55</v>
      </c>
      <c r="E248" s="7">
        <f t="shared" si="609"/>
        <v>693800</v>
      </c>
      <c r="F248" s="7">
        <v>0</v>
      </c>
      <c r="G248" s="8">
        <f>[28]รายการสรุป!$J$7</f>
        <v>693800</v>
      </c>
      <c r="H248" s="7">
        <f t="shared" si="610"/>
        <v>693799.4</v>
      </c>
      <c r="I248" s="7">
        <f t="shared" si="611"/>
        <v>99.999913519746329</v>
      </c>
      <c r="J248" s="7">
        <v>0</v>
      </c>
      <c r="K248" s="7">
        <f>151416+48072+105000+19078+174152.4+72108+115080+8893</f>
        <v>693799.4</v>
      </c>
      <c r="L248" s="7">
        <f t="shared" si="612"/>
        <v>0</v>
      </c>
      <c r="M248" s="7">
        <f t="shared" si="613"/>
        <v>0</v>
      </c>
      <c r="N248" s="7">
        <v>0</v>
      </c>
      <c r="O248" s="7">
        <v>0</v>
      </c>
      <c r="P248" s="7">
        <f t="shared" si="614"/>
        <v>0.59999999997671694</v>
      </c>
      <c r="Q248" s="7">
        <f t="shared" si="615"/>
        <v>8.6480253672054905E-5</v>
      </c>
      <c r="R248" s="7">
        <f t="shared" si="616"/>
        <v>0</v>
      </c>
      <c r="S248" s="7">
        <f t="shared" si="617"/>
        <v>0.59999999997671694</v>
      </c>
    </row>
    <row r="249" spans="1:20" ht="52.5" customHeight="1" x14ac:dyDescent="0.5">
      <c r="A249" s="15">
        <v>223</v>
      </c>
      <c r="B249" s="53" t="str">
        <f>[28]รายการสรุป!$E$8</f>
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</c>
      <c r="C249" s="24" t="str">
        <f>[28]รายการสรุป!$I$5</f>
        <v>0700341028420107</v>
      </c>
      <c r="D249" s="6" t="s">
        <v>55</v>
      </c>
      <c r="E249" s="7">
        <f t="shared" si="609"/>
        <v>695900</v>
      </c>
      <c r="F249" s="7">
        <v>0</v>
      </c>
      <c r="G249" s="8">
        <f>[28]รายการสรุป!$J$8</f>
        <v>695900</v>
      </c>
      <c r="H249" s="7">
        <f t="shared" si="610"/>
        <v>690726.2</v>
      </c>
      <c r="I249" s="7">
        <f t="shared" si="611"/>
        <v>99.256531110791784</v>
      </c>
      <c r="J249" s="7">
        <v>0</v>
      </c>
      <c r="K249" s="7">
        <f>166581.6+18683+24036+107400+166581.6+96144+111300</f>
        <v>690726.2</v>
      </c>
      <c r="L249" s="7">
        <f t="shared" si="612"/>
        <v>0</v>
      </c>
      <c r="M249" s="7">
        <f t="shared" si="613"/>
        <v>0</v>
      </c>
      <c r="N249" s="7">
        <v>0</v>
      </c>
      <c r="O249" s="7">
        <v>0</v>
      </c>
      <c r="P249" s="7">
        <f t="shared" si="614"/>
        <v>5173.8000000000466</v>
      </c>
      <c r="Q249" s="7">
        <f t="shared" si="615"/>
        <v>0.74346888920822629</v>
      </c>
      <c r="R249" s="7">
        <f t="shared" si="616"/>
        <v>0</v>
      </c>
      <c r="S249" s="7">
        <f t="shared" si="617"/>
        <v>5173.8000000000466</v>
      </c>
    </row>
    <row r="250" spans="1:20" ht="34.5" customHeight="1" x14ac:dyDescent="0.5">
      <c r="A250" s="15"/>
      <c r="B250" s="48" t="s">
        <v>59</v>
      </c>
      <c r="C250" s="63"/>
      <c r="D250" s="63"/>
      <c r="E250" s="49">
        <f t="shared" si="609"/>
        <v>3868800</v>
      </c>
      <c r="F250" s="49">
        <f>SUM(F251)</f>
        <v>0</v>
      </c>
      <c r="G250" s="49">
        <f>SUM(G251)</f>
        <v>3868800</v>
      </c>
      <c r="H250" s="49">
        <f>J250+K250</f>
        <v>2792758.9599999995</v>
      </c>
      <c r="I250" s="49">
        <f>H250*100/E250</f>
        <v>72.186697684036375</v>
      </c>
      <c r="J250" s="49">
        <f>SUM(J251)</f>
        <v>0</v>
      </c>
      <c r="K250" s="49">
        <f>SUM(K251)</f>
        <v>2792758.9599999995</v>
      </c>
      <c r="L250" s="49">
        <f>N250+O250</f>
        <v>0</v>
      </c>
      <c r="M250" s="48"/>
      <c r="N250" s="49">
        <f>SUM(N285:N297)</f>
        <v>0</v>
      </c>
      <c r="O250" s="49">
        <f>SUM(O251)</f>
        <v>0</v>
      </c>
      <c r="P250" s="49">
        <f>R250+S250</f>
        <v>1076041.0400000005</v>
      </c>
      <c r="Q250" s="7">
        <f t="shared" si="615"/>
        <v>27.813302315963618</v>
      </c>
      <c r="R250" s="49">
        <f>F250-J250-N250</f>
        <v>0</v>
      </c>
      <c r="S250" s="49">
        <f>G250-K250-O250</f>
        <v>1076041.0400000005</v>
      </c>
    </row>
    <row r="251" spans="1:20" ht="47.25" customHeight="1" x14ac:dyDescent="0.5">
      <c r="A251" s="15">
        <v>224</v>
      </c>
      <c r="B251" s="53" t="s">
        <v>60</v>
      </c>
      <c r="C251" s="24" t="str">
        <f>[29]รายการสรุป!$I$5</f>
        <v>0700341028200001</v>
      </c>
      <c r="D251" s="6" t="s">
        <v>61</v>
      </c>
      <c r="E251" s="7">
        <f t="shared" ref="E251:E252" si="618">F251+G251</f>
        <v>3868800</v>
      </c>
      <c r="F251" s="7">
        <v>0</v>
      </c>
      <c r="G251" s="8">
        <f>[29]รายการสรุป!$J$5</f>
        <v>3868800</v>
      </c>
      <c r="H251" s="7">
        <f t="shared" ref="H251" si="619">J251+K251</f>
        <v>2792758.9599999995</v>
      </c>
      <c r="I251" s="7">
        <f t="shared" ref="I251" si="620">H251*100/E251</f>
        <v>72.186697684036375</v>
      </c>
      <c r="J251" s="7">
        <v>0</v>
      </c>
      <c r="K251" s="7">
        <f>135870+15146+86065+73722.8+259600+8928+24200+10000+32923+15842.42+72764.6+10000+252750+10000+80970+72656.1+56400+176000+18700+65016.4+10000+296624+67308.15+38400+283414+63326.65+12700+180400+76170+56400+800+64252+9166.69+77973.15+78270</f>
        <v>2792758.9599999995</v>
      </c>
      <c r="L251" s="7">
        <f t="shared" ref="L251" si="621">N251+O251</f>
        <v>0</v>
      </c>
      <c r="M251" s="7">
        <f t="shared" ref="M251" si="622">L251*100/E251</f>
        <v>0</v>
      </c>
      <c r="N251" s="7">
        <v>0</v>
      </c>
      <c r="O251" s="7">
        <v>0</v>
      </c>
      <c r="P251" s="7">
        <f t="shared" ref="P251" si="623">R251+S251</f>
        <v>1076041.0400000005</v>
      </c>
      <c r="Q251" s="7">
        <f t="shared" ref="Q251:Q252" si="624">P251*100/E251</f>
        <v>27.813302315963618</v>
      </c>
      <c r="R251" s="7">
        <f t="shared" ref="R251" si="625">F251-J251-N251</f>
        <v>0</v>
      </c>
      <c r="S251" s="7">
        <f t="shared" ref="S251" si="626">G251-K251-O251</f>
        <v>1076041.0400000005</v>
      </c>
    </row>
    <row r="252" spans="1:20" ht="31.5" customHeight="1" x14ac:dyDescent="0.5">
      <c r="A252" s="15"/>
      <c r="B252" s="48" t="s">
        <v>64</v>
      </c>
      <c r="C252" s="63"/>
      <c r="D252" s="63"/>
      <c r="E252" s="49">
        <f t="shared" si="618"/>
        <v>0</v>
      </c>
      <c r="F252" s="49">
        <f>SUM(F253)</f>
        <v>0</v>
      </c>
      <c r="G252" s="49">
        <f>SUM(G253:G261)</f>
        <v>0</v>
      </c>
      <c r="H252" s="49">
        <f>J252+K252</f>
        <v>0</v>
      </c>
      <c r="I252" s="49" t="e">
        <f>H252*100/E252</f>
        <v>#DIV/0!</v>
      </c>
      <c r="J252" s="49">
        <f>SUM(J297:J301)</f>
        <v>0</v>
      </c>
      <c r="K252" s="49">
        <f>SUM(K253:K261)</f>
        <v>0</v>
      </c>
      <c r="L252" s="49">
        <f>N252+O252</f>
        <v>0</v>
      </c>
      <c r="M252" s="48"/>
      <c r="N252" s="49">
        <f>SUM(N297:N299)</f>
        <v>0</v>
      </c>
      <c r="O252" s="49">
        <f>SUM(O253:O261)</f>
        <v>0</v>
      </c>
      <c r="P252" s="49">
        <f>R252+S252</f>
        <v>0</v>
      </c>
      <c r="Q252" s="7" t="e">
        <f t="shared" si="624"/>
        <v>#DIV/0!</v>
      </c>
      <c r="R252" s="49">
        <f>F252-J252-N252</f>
        <v>0</v>
      </c>
      <c r="S252" s="49">
        <f>G252-K252-O252</f>
        <v>0</v>
      </c>
    </row>
    <row r="253" spans="1:20" ht="36.75" customHeight="1" x14ac:dyDescent="0.5">
      <c r="A253" s="15">
        <v>225</v>
      </c>
      <c r="B253" s="53" t="str">
        <f>[30]รายการสรุป!$E$5</f>
        <v>จัดหาน้ำสนับสนุนราษฎรและวนรอุทยานบ้านพญาพิภักดิ์ระยะที่ 2 จ.เชียงราย</v>
      </c>
      <c r="C253" s="24" t="str">
        <f>[30]รายการสรุป!$I$5</f>
        <v>0700341028420184</v>
      </c>
      <c r="D253" s="6" t="s">
        <v>65</v>
      </c>
      <c r="E253" s="7">
        <f t="shared" ref="E253" si="627">F253+G253</f>
        <v>0</v>
      </c>
      <c r="F253" s="7">
        <v>0</v>
      </c>
      <c r="G253" s="8">
        <f>[30]รายการสรุป!$J$5</f>
        <v>0</v>
      </c>
      <c r="H253" s="7">
        <f t="shared" ref="H253" si="628">J253+K253</f>
        <v>0</v>
      </c>
      <c r="I253" s="7" t="e">
        <f t="shared" ref="I253" si="629">H253*100/E253</f>
        <v>#DIV/0!</v>
      </c>
      <c r="J253" s="7">
        <v>0</v>
      </c>
      <c r="K253" s="7">
        <v>0</v>
      </c>
      <c r="L253" s="7">
        <f t="shared" ref="L253" si="630">N253+O253</f>
        <v>0</v>
      </c>
      <c r="M253" s="7" t="e">
        <f t="shared" ref="M253" si="631">L253*100/E253</f>
        <v>#DIV/0!</v>
      </c>
      <c r="N253" s="7">
        <v>0</v>
      </c>
      <c r="O253" s="7">
        <v>0</v>
      </c>
      <c r="P253" s="7">
        <f t="shared" ref="P253" si="632">R253+S253</f>
        <v>0</v>
      </c>
      <c r="Q253" s="7" t="e">
        <f t="shared" ref="Q253" si="633">P253*100/E253</f>
        <v>#DIV/0!</v>
      </c>
      <c r="R253" s="7">
        <f t="shared" ref="R253" si="634">F253-J253-N253</f>
        <v>0</v>
      </c>
      <c r="S253" s="7">
        <f t="shared" ref="S253" si="635">G253-K253-O253</f>
        <v>0</v>
      </c>
      <c r="T253" s="1" t="s">
        <v>83</v>
      </c>
    </row>
    <row r="254" spans="1:20" ht="46.5" customHeight="1" x14ac:dyDescent="0.5">
      <c r="A254" s="15">
        <v>226</v>
      </c>
      <c r="B254" s="53" t="str">
        <f>[30]รายการสรุป!$E$6</f>
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</c>
      <c r="C254" s="24" t="str">
        <f>[30]รายการสรุป!$I$6</f>
        <v>0700341028410083</v>
      </c>
      <c r="D254" s="6" t="s">
        <v>65</v>
      </c>
      <c r="E254" s="7">
        <f t="shared" ref="E254:E262" si="636">F254+G254</f>
        <v>0</v>
      </c>
      <c r="F254" s="7">
        <v>0</v>
      </c>
      <c r="G254" s="8">
        <f>[30]รายการสรุป!$J$6</f>
        <v>0</v>
      </c>
      <c r="H254" s="7">
        <f t="shared" ref="H254:H261" si="637">J254+K254</f>
        <v>0</v>
      </c>
      <c r="I254" s="7" t="e">
        <f t="shared" ref="I254:I261" si="638">H254*100/E254</f>
        <v>#DIV/0!</v>
      </c>
      <c r="J254" s="7">
        <v>0</v>
      </c>
      <c r="K254" s="7">
        <v>0</v>
      </c>
      <c r="L254" s="7">
        <f t="shared" ref="L254:L261" si="639">N254+O254</f>
        <v>0</v>
      </c>
      <c r="M254" s="7" t="e">
        <f t="shared" ref="M254:M261" si="640">L254*100/E254</f>
        <v>#DIV/0!</v>
      </c>
      <c r="N254" s="7">
        <v>0</v>
      </c>
      <c r="O254" s="7">
        <v>0</v>
      </c>
      <c r="P254" s="7">
        <f t="shared" ref="P254:P261" si="641">R254+S254</f>
        <v>0</v>
      </c>
      <c r="Q254" s="7" t="e">
        <f t="shared" ref="Q254:Q262" si="642">P254*100/E254</f>
        <v>#DIV/0!</v>
      </c>
      <c r="R254" s="7">
        <f t="shared" ref="R254:R261" si="643">F254-J254-N254</f>
        <v>0</v>
      </c>
      <c r="S254" s="7">
        <f t="shared" ref="S254:S261" si="644">G254-K254-O254</f>
        <v>0</v>
      </c>
      <c r="T254" s="1" t="s">
        <v>83</v>
      </c>
    </row>
    <row r="255" spans="1:20" ht="45.75" customHeight="1" x14ac:dyDescent="0.5">
      <c r="A255" s="15">
        <v>227</v>
      </c>
      <c r="B255" s="53" t="str">
        <f>[30]รายการสรุป!$E$7</f>
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</c>
      <c r="C255" s="24" t="str">
        <f>[30]รายการสรุป!$I$7</f>
        <v>0700341028410057</v>
      </c>
      <c r="D255" s="6" t="s">
        <v>65</v>
      </c>
      <c r="E255" s="7">
        <f t="shared" si="636"/>
        <v>0</v>
      </c>
      <c r="F255" s="7">
        <v>0</v>
      </c>
      <c r="G255" s="8">
        <f>[30]รายการสรุป!$J$7</f>
        <v>0</v>
      </c>
      <c r="H255" s="7">
        <f t="shared" si="637"/>
        <v>0</v>
      </c>
      <c r="I255" s="7" t="e">
        <f t="shared" si="638"/>
        <v>#DIV/0!</v>
      </c>
      <c r="J255" s="7">
        <v>0</v>
      </c>
      <c r="K255" s="7">
        <v>0</v>
      </c>
      <c r="L255" s="7">
        <f t="shared" si="639"/>
        <v>0</v>
      </c>
      <c r="M255" s="7" t="e">
        <f t="shared" si="640"/>
        <v>#DIV/0!</v>
      </c>
      <c r="N255" s="7">
        <v>0</v>
      </c>
      <c r="O255" s="7">
        <v>0</v>
      </c>
      <c r="P255" s="7">
        <f t="shared" si="641"/>
        <v>0</v>
      </c>
      <c r="Q255" s="7" t="e">
        <f t="shared" si="642"/>
        <v>#DIV/0!</v>
      </c>
      <c r="R255" s="7">
        <f t="shared" si="643"/>
        <v>0</v>
      </c>
      <c r="S255" s="7">
        <f t="shared" si="644"/>
        <v>0</v>
      </c>
      <c r="T255" s="1" t="s">
        <v>83</v>
      </c>
    </row>
    <row r="256" spans="1:20" ht="35.25" customHeight="1" x14ac:dyDescent="0.5">
      <c r="A256" s="15">
        <v>228</v>
      </c>
      <c r="B256" s="53" t="str">
        <f>[30]รายการสรุป!$E$8</f>
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</c>
      <c r="C256" s="24" t="str">
        <f>[30]รายการสรุป!$I$8</f>
        <v>0700341028410052</v>
      </c>
      <c r="D256" s="6" t="s">
        <v>65</v>
      </c>
      <c r="E256" s="7">
        <f t="shared" si="636"/>
        <v>0</v>
      </c>
      <c r="F256" s="7">
        <v>0</v>
      </c>
      <c r="G256" s="8">
        <f>[30]รายการสรุป!$J$8</f>
        <v>0</v>
      </c>
      <c r="H256" s="7">
        <f t="shared" si="637"/>
        <v>0</v>
      </c>
      <c r="I256" s="7" t="e">
        <f t="shared" si="638"/>
        <v>#DIV/0!</v>
      </c>
      <c r="J256" s="7">
        <v>0</v>
      </c>
      <c r="K256" s="7">
        <v>0</v>
      </c>
      <c r="L256" s="7">
        <f t="shared" si="639"/>
        <v>0</v>
      </c>
      <c r="M256" s="7" t="e">
        <f t="shared" si="640"/>
        <v>#DIV/0!</v>
      </c>
      <c r="N256" s="7">
        <v>0</v>
      </c>
      <c r="O256" s="7">
        <v>0</v>
      </c>
      <c r="P256" s="7">
        <f t="shared" si="641"/>
        <v>0</v>
      </c>
      <c r="Q256" s="7" t="e">
        <f t="shared" si="642"/>
        <v>#DIV/0!</v>
      </c>
      <c r="R256" s="7">
        <f t="shared" si="643"/>
        <v>0</v>
      </c>
      <c r="S256" s="7">
        <f t="shared" si="644"/>
        <v>0</v>
      </c>
      <c r="T256" s="1" t="s">
        <v>83</v>
      </c>
    </row>
    <row r="257" spans="1:20" ht="33" customHeight="1" x14ac:dyDescent="0.5">
      <c r="A257" s="15">
        <v>229</v>
      </c>
      <c r="B257" s="53" t="str">
        <f>[30]รายการสรุป!$E$9</f>
        <v>ฝายพร้อมระบบส่งน้ำบ้านป่าไม้จัดหาน้ำสนับสนุนโครงการหลวงสะโง๊ะ จ.เชียงราย</v>
      </c>
      <c r="C257" s="24" t="str">
        <f>[30]รายการสรุป!$I$9</f>
        <v>0700341028410075</v>
      </c>
      <c r="D257" s="6" t="s">
        <v>65</v>
      </c>
      <c r="E257" s="7">
        <f t="shared" si="636"/>
        <v>0</v>
      </c>
      <c r="F257" s="7">
        <v>0</v>
      </c>
      <c r="G257" s="8">
        <f>[30]รายการสรุป!$J$9</f>
        <v>0</v>
      </c>
      <c r="H257" s="7">
        <f t="shared" si="637"/>
        <v>0</v>
      </c>
      <c r="I257" s="7" t="e">
        <f t="shared" si="638"/>
        <v>#DIV/0!</v>
      </c>
      <c r="J257" s="7">
        <v>0</v>
      </c>
      <c r="K257" s="7">
        <v>0</v>
      </c>
      <c r="L257" s="7">
        <f t="shared" si="639"/>
        <v>0</v>
      </c>
      <c r="M257" s="7" t="e">
        <f t="shared" si="640"/>
        <v>#DIV/0!</v>
      </c>
      <c r="N257" s="7">
        <v>0</v>
      </c>
      <c r="O257" s="7">
        <v>0</v>
      </c>
      <c r="P257" s="7">
        <f t="shared" si="641"/>
        <v>0</v>
      </c>
      <c r="Q257" s="7" t="e">
        <f t="shared" si="642"/>
        <v>#DIV/0!</v>
      </c>
      <c r="R257" s="7">
        <f t="shared" si="643"/>
        <v>0</v>
      </c>
      <c r="S257" s="7">
        <f t="shared" si="644"/>
        <v>0</v>
      </c>
      <c r="T257" s="1" t="s">
        <v>83</v>
      </c>
    </row>
    <row r="258" spans="1:20" ht="35.25" customHeight="1" x14ac:dyDescent="0.5">
      <c r="A258" s="15">
        <v>230</v>
      </c>
      <c r="B258" s="53" t="str">
        <f>[30]รายการสรุป!$E$10</f>
        <v>ฝายพร้อมระบบส่งน้ำห้วยปางหมู จัดหาน้ำสนับสนุนศูนย์พัฒนาโครงการหลวงห้วยแล้ง จ.เชียงราย</v>
      </c>
      <c r="C258" s="24" t="str">
        <f>[30]รายการสรุป!$I$10</f>
        <v>0700341028410049</v>
      </c>
      <c r="D258" s="6" t="s">
        <v>65</v>
      </c>
      <c r="E258" s="7">
        <f t="shared" si="636"/>
        <v>0</v>
      </c>
      <c r="F258" s="7">
        <v>0</v>
      </c>
      <c r="G258" s="8">
        <f>[30]รายการสรุป!$J$10</f>
        <v>0</v>
      </c>
      <c r="H258" s="7">
        <f t="shared" si="637"/>
        <v>0</v>
      </c>
      <c r="I258" s="7" t="e">
        <f t="shared" si="638"/>
        <v>#DIV/0!</v>
      </c>
      <c r="J258" s="7">
        <v>0</v>
      </c>
      <c r="K258" s="7">
        <v>0</v>
      </c>
      <c r="L258" s="7">
        <f t="shared" si="639"/>
        <v>0</v>
      </c>
      <c r="M258" s="7" t="e">
        <f t="shared" si="640"/>
        <v>#DIV/0!</v>
      </c>
      <c r="N258" s="7">
        <v>0</v>
      </c>
      <c r="O258" s="7">
        <v>0</v>
      </c>
      <c r="P258" s="7">
        <f t="shared" si="641"/>
        <v>0</v>
      </c>
      <c r="Q258" s="7" t="e">
        <f t="shared" si="642"/>
        <v>#DIV/0!</v>
      </c>
      <c r="R258" s="7">
        <f t="shared" si="643"/>
        <v>0</v>
      </c>
      <c r="S258" s="7">
        <f t="shared" si="644"/>
        <v>0</v>
      </c>
      <c r="T258" s="1" t="s">
        <v>83</v>
      </c>
    </row>
    <row r="259" spans="1:20" ht="36" customHeight="1" x14ac:dyDescent="0.5">
      <c r="A259" s="15">
        <v>231</v>
      </c>
      <c r="B259" s="53" t="str">
        <f>[30]รายการสรุป!$E$11</f>
        <v>ฝายแม่ลอยพร้อมระบบส่งน้ำ จ.เชียงราย</v>
      </c>
      <c r="C259" s="24" t="str">
        <f>[30]รายการสรุป!$I$11</f>
        <v>0700341028420185</v>
      </c>
      <c r="D259" s="6" t="s">
        <v>65</v>
      </c>
      <c r="E259" s="7">
        <f t="shared" si="636"/>
        <v>0</v>
      </c>
      <c r="F259" s="7">
        <v>0</v>
      </c>
      <c r="G259" s="8">
        <f>[30]รายการสรุป!$J$11</f>
        <v>0</v>
      </c>
      <c r="H259" s="7">
        <f t="shared" si="637"/>
        <v>0</v>
      </c>
      <c r="I259" s="7" t="e">
        <f t="shared" si="638"/>
        <v>#DIV/0!</v>
      </c>
      <c r="J259" s="7">
        <v>0</v>
      </c>
      <c r="K259" s="7">
        <v>0</v>
      </c>
      <c r="L259" s="7">
        <f t="shared" si="639"/>
        <v>0</v>
      </c>
      <c r="M259" s="7" t="e">
        <f t="shared" si="640"/>
        <v>#DIV/0!</v>
      </c>
      <c r="N259" s="7">
        <v>0</v>
      </c>
      <c r="O259" s="7">
        <v>0</v>
      </c>
      <c r="P259" s="7">
        <f t="shared" si="641"/>
        <v>0</v>
      </c>
      <c r="Q259" s="7" t="e">
        <f t="shared" si="642"/>
        <v>#DIV/0!</v>
      </c>
      <c r="R259" s="7">
        <f t="shared" si="643"/>
        <v>0</v>
      </c>
      <c r="S259" s="7">
        <f t="shared" si="644"/>
        <v>0</v>
      </c>
      <c r="T259" s="1" t="s">
        <v>83</v>
      </c>
    </row>
    <row r="260" spans="1:20" ht="36" customHeight="1" x14ac:dyDescent="0.5">
      <c r="A260" s="15">
        <v>232</v>
      </c>
      <c r="B260" s="53" t="str">
        <f>[30]รายการสรุป!$E$12</f>
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</c>
      <c r="C260" s="24" t="str">
        <f>[30]รายการสรุป!$I$12</f>
        <v>0700341028410050</v>
      </c>
      <c r="D260" s="6" t="s">
        <v>65</v>
      </c>
      <c r="E260" s="7">
        <f t="shared" si="636"/>
        <v>0</v>
      </c>
      <c r="F260" s="7">
        <v>0</v>
      </c>
      <c r="G260" s="8">
        <f>[30]รายการสรุป!$J$12</f>
        <v>0</v>
      </c>
      <c r="H260" s="7">
        <f t="shared" si="637"/>
        <v>0</v>
      </c>
      <c r="I260" s="7" t="e">
        <f t="shared" si="638"/>
        <v>#DIV/0!</v>
      </c>
      <c r="J260" s="7">
        <v>0</v>
      </c>
      <c r="K260" s="7">
        <v>0</v>
      </c>
      <c r="L260" s="7">
        <f t="shared" si="639"/>
        <v>0</v>
      </c>
      <c r="M260" s="7" t="e">
        <f t="shared" si="640"/>
        <v>#DIV/0!</v>
      </c>
      <c r="N260" s="7">
        <v>0</v>
      </c>
      <c r="O260" s="7">
        <v>0</v>
      </c>
      <c r="P260" s="7">
        <f t="shared" si="641"/>
        <v>0</v>
      </c>
      <c r="Q260" s="7" t="e">
        <f t="shared" si="642"/>
        <v>#DIV/0!</v>
      </c>
      <c r="R260" s="7">
        <f t="shared" si="643"/>
        <v>0</v>
      </c>
      <c r="S260" s="7">
        <f t="shared" si="644"/>
        <v>0</v>
      </c>
      <c r="T260" s="1" t="s">
        <v>83</v>
      </c>
    </row>
    <row r="261" spans="1:20" ht="31.5" customHeight="1" x14ac:dyDescent="0.5">
      <c r="A261" s="15">
        <v>233</v>
      </c>
      <c r="B261" s="53" t="str">
        <f>[30]รายการสรุป!$E$13</f>
        <v>ระบบส่งน้ำฝั่งซ้ายฝายห้วยตอง จ.เชียงราย</v>
      </c>
      <c r="C261" s="24" t="str">
        <f>[30]รายการสรุป!$I$13</f>
        <v>0700341028420297</v>
      </c>
      <c r="D261" s="6" t="s">
        <v>65</v>
      </c>
      <c r="E261" s="7">
        <f t="shared" si="636"/>
        <v>0</v>
      </c>
      <c r="F261" s="7">
        <v>0</v>
      </c>
      <c r="G261" s="8">
        <f>[30]รายการสรุป!$J$13</f>
        <v>0</v>
      </c>
      <c r="H261" s="7">
        <f t="shared" si="637"/>
        <v>0</v>
      </c>
      <c r="I261" s="7" t="e">
        <f t="shared" si="638"/>
        <v>#DIV/0!</v>
      </c>
      <c r="J261" s="7">
        <v>0</v>
      </c>
      <c r="K261" s="7">
        <v>0</v>
      </c>
      <c r="L261" s="7">
        <f t="shared" si="639"/>
        <v>0</v>
      </c>
      <c r="M261" s="7" t="e">
        <f t="shared" si="640"/>
        <v>#DIV/0!</v>
      </c>
      <c r="N261" s="7">
        <v>0</v>
      </c>
      <c r="O261" s="7">
        <v>0</v>
      </c>
      <c r="P261" s="7">
        <f t="shared" si="641"/>
        <v>0</v>
      </c>
      <c r="Q261" s="7" t="e">
        <f t="shared" si="642"/>
        <v>#DIV/0!</v>
      </c>
      <c r="R261" s="7">
        <f t="shared" si="643"/>
        <v>0</v>
      </c>
      <c r="S261" s="7">
        <f t="shared" si="644"/>
        <v>0</v>
      </c>
      <c r="T261" s="1" t="s">
        <v>83</v>
      </c>
    </row>
    <row r="262" spans="1:20" ht="39" customHeight="1" x14ac:dyDescent="0.5">
      <c r="A262" s="15"/>
      <c r="B262" s="48" t="s">
        <v>66</v>
      </c>
      <c r="C262" s="63"/>
      <c r="D262" s="63"/>
      <c r="E262" s="49">
        <f t="shared" si="636"/>
        <v>1213500</v>
      </c>
      <c r="F262" s="49">
        <f>SUM(F263:F266)</f>
        <v>0</v>
      </c>
      <c r="G262" s="49">
        <f>SUM(G263:G266)</f>
        <v>1213500</v>
      </c>
      <c r="H262" s="49">
        <f>J262+K262</f>
        <v>324828.96999999997</v>
      </c>
      <c r="I262" s="49">
        <f>H262*100/E262</f>
        <v>26.767941491553355</v>
      </c>
      <c r="J262" s="49">
        <f>SUM(J299:J311)</f>
        <v>0</v>
      </c>
      <c r="K262" s="49">
        <f>SUM(K263:K266)</f>
        <v>324828.96999999997</v>
      </c>
      <c r="L262" s="49">
        <f>N262+O262</f>
        <v>0</v>
      </c>
      <c r="M262" s="48"/>
      <c r="N262" s="49">
        <f>SUM(N299:N309)</f>
        <v>0</v>
      </c>
      <c r="O262" s="49">
        <f>SUM(O263:O266)</f>
        <v>0</v>
      </c>
      <c r="P262" s="49">
        <f>R262+S262</f>
        <v>888671.03</v>
      </c>
      <c r="Q262" s="7">
        <f t="shared" si="642"/>
        <v>73.232058508446642</v>
      </c>
      <c r="R262" s="49">
        <f>F262-J262-N262</f>
        <v>0</v>
      </c>
      <c r="S262" s="49">
        <f>G262-K262-O262</f>
        <v>888671.03</v>
      </c>
    </row>
    <row r="263" spans="1:20" ht="36.75" customHeight="1" x14ac:dyDescent="0.5">
      <c r="A263" s="15">
        <v>234</v>
      </c>
      <c r="B263" s="53" t="str">
        <f>[31]รายการสรุป!$E$5</f>
        <v>ปรับปรุงท่อระบบส่งน้ำและอาคารประกอบโครงการจัดหาน้ำสนับสนุนบ้านสบขุ่น จ.น่าน</v>
      </c>
      <c r="C263" s="24" t="str">
        <f>[31]รายการสรุป!$I$5</f>
        <v>0700341028420298</v>
      </c>
      <c r="D263" s="6" t="s">
        <v>65</v>
      </c>
      <c r="E263" s="7">
        <f t="shared" ref="E263" si="645">F263+G263</f>
        <v>260000</v>
      </c>
      <c r="F263" s="7">
        <v>0</v>
      </c>
      <c r="G263" s="8">
        <f>[31]รายการสรุป!$J$5</f>
        <v>260000</v>
      </c>
      <c r="H263" s="7">
        <f t="shared" ref="H263" si="646">J263+K263</f>
        <v>52424</v>
      </c>
      <c r="I263" s="7">
        <f t="shared" ref="I263" si="647">H263*100/E263</f>
        <v>20.163076923076922</v>
      </c>
      <c r="J263" s="7">
        <v>0</v>
      </c>
      <c r="K263" s="7">
        <f>34785+17639</f>
        <v>52424</v>
      </c>
      <c r="L263" s="7">
        <f t="shared" ref="L263" si="648">N263+O263</f>
        <v>0</v>
      </c>
      <c r="M263" s="7">
        <f t="shared" ref="M263" si="649">L263*100/E263</f>
        <v>0</v>
      </c>
      <c r="N263" s="7">
        <v>0</v>
      </c>
      <c r="O263" s="7">
        <v>0</v>
      </c>
      <c r="P263" s="7">
        <f t="shared" ref="P263" si="650">R263+S263</f>
        <v>207576</v>
      </c>
      <c r="Q263" s="7">
        <f t="shared" ref="Q263" si="651">P263*100/E263</f>
        <v>79.836923076923071</v>
      </c>
      <c r="R263" s="7">
        <f t="shared" ref="R263" si="652">F263-J263-N263</f>
        <v>0</v>
      </c>
      <c r="S263" s="7">
        <f t="shared" ref="S263" si="653">G263-K263-O263</f>
        <v>207576</v>
      </c>
    </row>
    <row r="264" spans="1:20" ht="31.5" customHeight="1" x14ac:dyDescent="0.5">
      <c r="A264" s="15">
        <v>235</v>
      </c>
      <c r="B264" s="53" t="str">
        <f>[31]รายการสรุป!$E$6</f>
        <v>ฝายนาสาพร้อมระบบส่งน้ำโครงการขยายผลโครงการหลวงแม่จริม จ.น่าน</v>
      </c>
      <c r="C264" s="24" t="str">
        <f>[31]รายการสรุป!$I$6</f>
        <v>0700341028420182</v>
      </c>
      <c r="D264" s="6" t="s">
        <v>65</v>
      </c>
      <c r="E264" s="7">
        <f t="shared" ref="E264:E267" si="654">F264+G264</f>
        <v>458500</v>
      </c>
      <c r="F264" s="7">
        <v>0</v>
      </c>
      <c r="G264" s="8">
        <f>[31]รายการสรุป!$J$6</f>
        <v>458500</v>
      </c>
      <c r="H264" s="7">
        <f t="shared" ref="H264:H265" si="655">J264+K264</f>
        <v>156174.01999999999</v>
      </c>
      <c r="I264" s="7">
        <f t="shared" ref="I264:I265" si="656">H264*100/E264</f>
        <v>34.061945474372948</v>
      </c>
      <c r="J264" s="7">
        <v>0</v>
      </c>
      <c r="K264" s="7">
        <f>11562+2335.81+7760+69399+25013.5+2335.81+5500+9500.9+1280+7569+8590+5328</f>
        <v>156174.01999999999</v>
      </c>
      <c r="L264" s="7">
        <f t="shared" ref="L264:L265" si="657">N264+O264</f>
        <v>0</v>
      </c>
      <c r="M264" s="7">
        <f t="shared" ref="M264:M265" si="658">L264*100/E264</f>
        <v>0</v>
      </c>
      <c r="N264" s="7">
        <v>0</v>
      </c>
      <c r="O264" s="7">
        <v>0</v>
      </c>
      <c r="P264" s="7">
        <f t="shared" ref="P264:P265" si="659">R264+S264</f>
        <v>302325.98</v>
      </c>
      <c r="Q264" s="7">
        <f t="shared" ref="Q264:Q267" si="660">P264*100/E264</f>
        <v>65.938054525627038</v>
      </c>
      <c r="R264" s="7">
        <f t="shared" ref="R264:R265" si="661">F264-J264-N264</f>
        <v>0</v>
      </c>
      <c r="S264" s="7">
        <f t="shared" ref="S264:S265" si="662">G264-K264-O264</f>
        <v>302325.98</v>
      </c>
    </row>
    <row r="265" spans="1:20" ht="33.75" customHeight="1" x14ac:dyDescent="0.5">
      <c r="A265" s="15">
        <v>236</v>
      </c>
      <c r="B265" s="53" t="str">
        <f>[31]รายการสรุป!$E$7</f>
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</c>
      <c r="C265" s="24" t="str">
        <f>[31]รายการสรุป!$I$7</f>
        <v>0700341028420183</v>
      </c>
      <c r="D265" s="6" t="s">
        <v>65</v>
      </c>
      <c r="E265" s="7">
        <f t="shared" si="654"/>
        <v>180000</v>
      </c>
      <c r="F265" s="7">
        <v>0</v>
      </c>
      <c r="G265" s="8">
        <f>[31]รายการสรุป!$J$7</f>
        <v>180000</v>
      </c>
      <c r="H265" s="7">
        <f t="shared" si="655"/>
        <v>116230.95</v>
      </c>
      <c r="I265" s="7">
        <f t="shared" si="656"/>
        <v>64.572749999999999</v>
      </c>
      <c r="J265" s="7">
        <v>0</v>
      </c>
      <c r="K265" s="7">
        <f>12618+12618+13880.8+9764.5+7946+12618+10074+9280+4749.95+3391+14512.7+4778</f>
        <v>116230.95</v>
      </c>
      <c r="L265" s="7">
        <f t="shared" si="657"/>
        <v>0</v>
      </c>
      <c r="M265" s="7">
        <f t="shared" si="658"/>
        <v>0</v>
      </c>
      <c r="N265" s="7">
        <v>0</v>
      </c>
      <c r="O265" s="7">
        <v>0</v>
      </c>
      <c r="P265" s="7">
        <f t="shared" si="659"/>
        <v>63769.05</v>
      </c>
      <c r="Q265" s="7">
        <f t="shared" si="660"/>
        <v>35.427250000000001</v>
      </c>
      <c r="R265" s="7">
        <f t="shared" si="661"/>
        <v>0</v>
      </c>
      <c r="S265" s="7">
        <f t="shared" si="662"/>
        <v>63769.05</v>
      </c>
    </row>
    <row r="266" spans="1:20" ht="33.75" customHeight="1" x14ac:dyDescent="0.5">
      <c r="A266" s="15">
        <v>237</v>
      </c>
      <c r="B266" s="53" t="str">
        <f>[31]รายการสรุป!$E$8</f>
        <v>ฝายห้วยผาลาดพร้อมระบบส่งน้ำจัดหาน้ำสนับสนุนโครงการขยายผลโครงการหลวงน้ำเคิม จ.น่าน</v>
      </c>
      <c r="C266" s="24" t="str">
        <f>[31]รายการสรุป!$I$8</f>
        <v>0700341028420181</v>
      </c>
      <c r="D266" s="6" t="s">
        <v>76</v>
      </c>
      <c r="E266" s="7">
        <f t="shared" ref="E266" si="663">F266+G266</f>
        <v>315000</v>
      </c>
      <c r="F266" s="7">
        <v>0</v>
      </c>
      <c r="G266" s="8">
        <f>[31]รายการสรุป!$J$8</f>
        <v>315000</v>
      </c>
      <c r="H266" s="7">
        <f t="shared" ref="H266" si="664">J266+K266</f>
        <v>0</v>
      </c>
      <c r="I266" s="7">
        <f t="shared" ref="I266" si="665">H266*100/E266</f>
        <v>0</v>
      </c>
      <c r="J266" s="7">
        <v>0</v>
      </c>
      <c r="K266" s="7">
        <v>0</v>
      </c>
      <c r="L266" s="7">
        <f t="shared" ref="L266" si="666">N266+O266</f>
        <v>0</v>
      </c>
      <c r="M266" s="7">
        <f t="shared" ref="M266" si="667">L266*100/E266</f>
        <v>0</v>
      </c>
      <c r="N266" s="7">
        <v>0</v>
      </c>
      <c r="O266" s="7">
        <v>0</v>
      </c>
      <c r="P266" s="7">
        <f t="shared" ref="P266" si="668">R266+S266</f>
        <v>315000</v>
      </c>
      <c r="Q266" s="7">
        <f t="shared" ref="Q266" si="669">P266*100/E266</f>
        <v>100</v>
      </c>
      <c r="R266" s="7">
        <f t="shared" ref="R266" si="670">F266-J266-N266</f>
        <v>0</v>
      </c>
      <c r="S266" s="7">
        <f t="shared" ref="S266" si="671">G266-K266-O266</f>
        <v>315000</v>
      </c>
    </row>
    <row r="267" spans="1:20" ht="39" customHeight="1" x14ac:dyDescent="0.5">
      <c r="A267" s="15"/>
      <c r="B267" s="48" t="s">
        <v>67</v>
      </c>
      <c r="C267" s="63"/>
      <c r="D267" s="63"/>
      <c r="E267" s="49">
        <f t="shared" si="654"/>
        <v>573000</v>
      </c>
      <c r="F267" s="49">
        <f>SUM(F268)</f>
        <v>0</v>
      </c>
      <c r="G267" s="49">
        <f>SUM(G268:G270)</f>
        <v>573000</v>
      </c>
      <c r="H267" s="49">
        <f>J267+K267</f>
        <v>112968.3</v>
      </c>
      <c r="I267" s="49">
        <f>H267*100/E267</f>
        <v>19.715235602094239</v>
      </c>
      <c r="J267" s="49">
        <f>SUM(J303:J315)</f>
        <v>0</v>
      </c>
      <c r="K267" s="49">
        <f>SUM(K269:K270)</f>
        <v>112968.3</v>
      </c>
      <c r="L267" s="49">
        <f>SUM(L268:L269)</f>
        <v>0</v>
      </c>
      <c r="M267" s="48"/>
      <c r="N267" s="49">
        <f>SUM(N303:N313)</f>
        <v>0</v>
      </c>
      <c r="O267" s="49">
        <f>SUM(O268:O270)</f>
        <v>0</v>
      </c>
      <c r="P267" s="49">
        <f>R267+S267</f>
        <v>460031.7</v>
      </c>
      <c r="Q267" s="7">
        <f t="shared" si="660"/>
        <v>80.284764397905761</v>
      </c>
      <c r="R267" s="49">
        <f>F267-J267-N267</f>
        <v>0</v>
      </c>
      <c r="S267" s="49">
        <f>G267-K267-O267</f>
        <v>460031.7</v>
      </c>
    </row>
    <row r="268" spans="1:20" ht="36.75" customHeight="1" x14ac:dyDescent="0.5">
      <c r="A268" s="15">
        <v>238</v>
      </c>
      <c r="B268" s="53" t="str">
        <f>[32]รายการสรุป!$E$5</f>
        <v>ปรับปรุงระบบส่งน้ำฝายป่ารวก อ.เถิน จ.ลำปาง</v>
      </c>
      <c r="C268" s="24" t="str">
        <f>[32]รายการสรุป!$I$5</f>
        <v>0700341028410088</v>
      </c>
      <c r="D268" s="6" t="s">
        <v>65</v>
      </c>
      <c r="E268" s="7">
        <f t="shared" ref="E268" si="672">F268+G268</f>
        <v>254000</v>
      </c>
      <c r="F268" s="7">
        <v>0</v>
      </c>
      <c r="G268" s="8">
        <f>[32]รายการสรุป!$J$5</f>
        <v>254000</v>
      </c>
      <c r="H268" s="7">
        <f t="shared" ref="H268" si="673">J268+K268</f>
        <v>0</v>
      </c>
      <c r="I268" s="7">
        <f t="shared" ref="I268" si="674">H268*100/E268</f>
        <v>0</v>
      </c>
      <c r="J268" s="7">
        <v>0</v>
      </c>
      <c r="K268" s="7">
        <v>0</v>
      </c>
      <c r="L268" s="7">
        <f t="shared" ref="L268" si="675">N268+O268</f>
        <v>0</v>
      </c>
      <c r="M268" s="7">
        <f t="shared" ref="M268" si="676">L268*100/E268</f>
        <v>0</v>
      </c>
      <c r="N268" s="7">
        <v>0</v>
      </c>
      <c r="O268" s="7">
        <v>0</v>
      </c>
      <c r="P268" s="7">
        <f t="shared" ref="P268" si="677">R268+S268</f>
        <v>254000</v>
      </c>
      <c r="Q268" s="7">
        <f t="shared" ref="Q268" si="678">P268*100/E268</f>
        <v>100</v>
      </c>
      <c r="R268" s="7">
        <f t="shared" ref="R268" si="679">F268-J268-N268</f>
        <v>0</v>
      </c>
      <c r="S268" s="7">
        <f t="shared" ref="S268" si="680">G268-K268-O268</f>
        <v>254000</v>
      </c>
    </row>
    <row r="269" spans="1:20" ht="32.25" customHeight="1" x14ac:dyDescent="0.5">
      <c r="A269" s="15">
        <v>239</v>
      </c>
      <c r="B269" s="53" t="str">
        <f>[32]รายการสรุป!$E$6</f>
        <v>ปรับระบบส่งน้ำอ่างเก็บน้ำห้วยสามขา อ.แม่ทะ จ.ลำปาง</v>
      </c>
      <c r="C269" s="24" t="str">
        <f>[32]รายการสรุป!$I$6</f>
        <v>0700341028410062</v>
      </c>
      <c r="D269" s="6" t="s">
        <v>65</v>
      </c>
      <c r="E269" s="7">
        <f t="shared" ref="E269:E272" si="681">F269+G269</f>
        <v>113000</v>
      </c>
      <c r="F269" s="7">
        <v>0</v>
      </c>
      <c r="G269" s="8">
        <f>[32]รายการสรุป!$J$6</f>
        <v>113000</v>
      </c>
      <c r="H269" s="7">
        <f t="shared" ref="H269" si="682">J269+K269</f>
        <v>112968.3</v>
      </c>
      <c r="I269" s="7">
        <f t="shared" ref="I269" si="683">H269*100/E269</f>
        <v>99.971946902654864</v>
      </c>
      <c r="J269" s="7">
        <v>0</v>
      </c>
      <c r="K269" s="7">
        <f>27000+15834+43538.1+2560+2320+21716.2</f>
        <v>112968.3</v>
      </c>
      <c r="L269" s="7">
        <f t="shared" ref="L269" si="684">N269+O269</f>
        <v>0</v>
      </c>
      <c r="M269" s="7">
        <f t="shared" ref="M269" si="685">L269*100/E269</f>
        <v>0</v>
      </c>
      <c r="N269" s="7">
        <v>0</v>
      </c>
      <c r="O269" s="7">
        <v>0</v>
      </c>
      <c r="P269" s="7">
        <f t="shared" ref="P269" si="686">R269+S269</f>
        <v>31.69999999999709</v>
      </c>
      <c r="Q269" s="7">
        <f t="shared" ref="Q269:Q272" si="687">P269*100/E269</f>
        <v>2.8053097345130167E-2</v>
      </c>
      <c r="R269" s="7">
        <f t="shared" ref="R269" si="688">F269-J269-N269</f>
        <v>0</v>
      </c>
      <c r="S269" s="7">
        <f t="shared" ref="S269" si="689">G269-K269-O269</f>
        <v>31.69999999999709</v>
      </c>
    </row>
    <row r="270" spans="1:20" ht="32.25" customHeight="1" x14ac:dyDescent="0.5">
      <c r="A270" s="15">
        <v>240</v>
      </c>
      <c r="B270" s="53" t="str">
        <f>[32]รายการสรุป!$E$7</f>
        <v>ปรับปรุงระบบส่งน้ำฝั่งซ้ายอ่างเก็บน้ำห้วยแม่จอก จ.ลำปาง</v>
      </c>
      <c r="C270" s="24" t="str">
        <f>[32]รายการสรุป!$I$7</f>
        <v>0700341028410089</v>
      </c>
      <c r="D270" s="6" t="s">
        <v>76</v>
      </c>
      <c r="E270" s="7">
        <f t="shared" ref="E270" si="690">F270+G270</f>
        <v>206000</v>
      </c>
      <c r="F270" s="7">
        <v>0</v>
      </c>
      <c r="G270" s="8">
        <f>[32]รายการสรุป!$J$7</f>
        <v>206000</v>
      </c>
      <c r="H270" s="7">
        <f t="shared" ref="H270" si="691">J270+K270</f>
        <v>0</v>
      </c>
      <c r="I270" s="7">
        <f t="shared" ref="I270" si="692">H270*100/E270</f>
        <v>0</v>
      </c>
      <c r="J270" s="7">
        <v>0</v>
      </c>
      <c r="K270" s="7">
        <v>0</v>
      </c>
      <c r="L270" s="7">
        <f t="shared" ref="L270" si="693">N270+O270</f>
        <v>0</v>
      </c>
      <c r="M270" s="7">
        <f t="shared" ref="M270" si="694">L270*100/E270</f>
        <v>0</v>
      </c>
      <c r="N270" s="7">
        <v>0</v>
      </c>
      <c r="O270" s="7">
        <v>0</v>
      </c>
      <c r="P270" s="7">
        <f t="shared" ref="P270" si="695">R270+S270</f>
        <v>206000</v>
      </c>
      <c r="Q270" s="7">
        <f t="shared" ref="Q270" si="696">P270*100/E270</f>
        <v>100</v>
      </c>
      <c r="R270" s="7">
        <f t="shared" ref="R270" si="697">F270-J270-N270</f>
        <v>0</v>
      </c>
      <c r="S270" s="7">
        <f t="shared" ref="S270" si="698">G270-K270-O270</f>
        <v>206000</v>
      </c>
    </row>
    <row r="271" spans="1:20" ht="39" customHeight="1" x14ac:dyDescent="0.5">
      <c r="A271" s="15"/>
      <c r="B271" s="48" t="s">
        <v>68</v>
      </c>
      <c r="C271" s="63"/>
      <c r="D271" s="63"/>
      <c r="E271" s="49">
        <f t="shared" si="681"/>
        <v>258000</v>
      </c>
      <c r="F271" s="49">
        <f>SUM(F272)</f>
        <v>0</v>
      </c>
      <c r="G271" s="49">
        <f>SUM(G272:G272)</f>
        <v>258000</v>
      </c>
      <c r="H271" s="49">
        <f>J271+K271</f>
        <v>19360</v>
      </c>
      <c r="I271" s="49">
        <f>H271*100/E271</f>
        <v>7.5038759689922481</v>
      </c>
      <c r="J271" s="49">
        <f>SUM(J306:J318)</f>
        <v>0</v>
      </c>
      <c r="K271" s="49">
        <f>SUM(K272:K272)</f>
        <v>19360</v>
      </c>
      <c r="L271" s="49">
        <f>SUM(L272:L272)</f>
        <v>0</v>
      </c>
      <c r="M271" s="48"/>
      <c r="N271" s="49">
        <f>SUM(N306:N316)</f>
        <v>0</v>
      </c>
      <c r="O271" s="49">
        <f>SUM(O272:O272)</f>
        <v>0</v>
      </c>
      <c r="P271" s="49">
        <f>R271+S271</f>
        <v>238640</v>
      </c>
      <c r="Q271" s="7">
        <f t="shared" si="687"/>
        <v>92.496124031007753</v>
      </c>
      <c r="R271" s="49">
        <f>F271-J271-N271</f>
        <v>0</v>
      </c>
      <c r="S271" s="49">
        <f>G271-K271-O271</f>
        <v>238640</v>
      </c>
    </row>
    <row r="272" spans="1:20" ht="39" customHeight="1" x14ac:dyDescent="0.5">
      <c r="A272" s="15">
        <v>241</v>
      </c>
      <c r="B272" s="53" t="str">
        <f>[33]รายการสรุป!$E$5</f>
        <v>ระบบส่งน้ำอ่างเก็บน้ำห้วยสร้อยศรี ระยะที่ 1 จ.พะเยา</v>
      </c>
      <c r="C272" s="24" t="str">
        <f>[33]รายการสรุป!$I$5</f>
        <v>0700341028420191</v>
      </c>
      <c r="D272" s="6" t="s">
        <v>65</v>
      </c>
      <c r="E272" s="7">
        <f t="shared" si="681"/>
        <v>258000</v>
      </c>
      <c r="F272" s="7">
        <v>0</v>
      </c>
      <c r="G272" s="8">
        <f>[33]รายการสรุป!$J$5</f>
        <v>258000</v>
      </c>
      <c r="H272" s="7">
        <f t="shared" ref="H272" si="699">J272+K272</f>
        <v>19360</v>
      </c>
      <c r="I272" s="7">
        <f t="shared" ref="I272" si="700">H272*100/E272</f>
        <v>7.5038759689922481</v>
      </c>
      <c r="J272" s="7">
        <v>0</v>
      </c>
      <c r="K272" s="7">
        <f>6960+12400</f>
        <v>19360</v>
      </c>
      <c r="L272" s="7">
        <f t="shared" ref="L272" si="701">N272+O272</f>
        <v>0</v>
      </c>
      <c r="M272" s="7">
        <f t="shared" ref="M272" si="702">L272*100/E272</f>
        <v>0</v>
      </c>
      <c r="N272" s="7">
        <v>0</v>
      </c>
      <c r="O272" s="7">
        <v>0</v>
      </c>
      <c r="P272" s="7">
        <f t="shared" ref="P272" si="703">R272+S272</f>
        <v>238640</v>
      </c>
      <c r="Q272" s="7">
        <f t="shared" si="687"/>
        <v>92.496124031007753</v>
      </c>
      <c r="R272" s="7">
        <f t="shared" ref="R272" si="704">F272-J272-N272</f>
        <v>0</v>
      </c>
      <c r="S272" s="7">
        <f t="shared" ref="S272" si="705">G272-K272-O272</f>
        <v>238640</v>
      </c>
    </row>
    <row r="273" spans="1:20" ht="39" customHeight="1" x14ac:dyDescent="0.5">
      <c r="A273" s="15"/>
      <c r="B273" s="48" t="s">
        <v>99</v>
      </c>
      <c r="C273" s="63"/>
      <c r="D273" s="63"/>
      <c r="E273" s="49">
        <f t="shared" ref="E273:E274" si="706">F273+G273</f>
        <v>555900</v>
      </c>
      <c r="F273" s="49">
        <f>SUM(F274)</f>
        <v>0</v>
      </c>
      <c r="G273" s="49">
        <f>SUM(G274:G274)</f>
        <v>555900</v>
      </c>
      <c r="H273" s="49">
        <f>J273+K273</f>
        <v>108802.28</v>
      </c>
      <c r="I273" s="49">
        <f>H273*100/E273</f>
        <v>19.572275589134737</v>
      </c>
      <c r="J273" s="49">
        <f>SUM(J308:J320)</f>
        <v>0</v>
      </c>
      <c r="K273" s="49">
        <f>SUM(K274:K274)</f>
        <v>108802.28</v>
      </c>
      <c r="L273" s="49">
        <f>SUM(L274:L274)</f>
        <v>0</v>
      </c>
      <c r="M273" s="48"/>
      <c r="N273" s="49">
        <f>SUM(N308:N318)</f>
        <v>0</v>
      </c>
      <c r="O273" s="49">
        <f>SUM(O274:O274)</f>
        <v>0</v>
      </c>
      <c r="P273" s="49">
        <f>R273+S273</f>
        <v>447097.72</v>
      </c>
      <c r="Q273" s="7">
        <f t="shared" ref="Q273:Q274" si="707">P273*100/E273</f>
        <v>80.427724410865267</v>
      </c>
      <c r="R273" s="49">
        <f>F273-J273-N273</f>
        <v>0</v>
      </c>
      <c r="S273" s="49">
        <f>G273-K273-O273</f>
        <v>447097.72</v>
      </c>
    </row>
    <row r="274" spans="1:20" ht="39" customHeight="1" x14ac:dyDescent="0.5">
      <c r="A274" s="15">
        <v>242</v>
      </c>
      <c r="B274" s="53" t="str">
        <f>[34]รายการสรุป!$E$5</f>
        <v>สถานีสูบน้ำด้วยไฟฟ้าพร้อมระบบสูบน้ำบ้านห้วยโป่ง จ.เชียงราย</v>
      </c>
      <c r="C274" s="24" t="str">
        <f>[34]รายการสรุป!$I$5</f>
        <v>0700341028420342</v>
      </c>
      <c r="D274" s="6" t="s">
        <v>100</v>
      </c>
      <c r="E274" s="7">
        <f t="shared" si="706"/>
        <v>555900</v>
      </c>
      <c r="F274" s="7">
        <v>0</v>
      </c>
      <c r="G274" s="8">
        <f>[34]รายการสรุป!$J$5</f>
        <v>555900</v>
      </c>
      <c r="H274" s="7">
        <f t="shared" ref="H274" si="708">J274+K274</f>
        <v>108802.28</v>
      </c>
      <c r="I274" s="7">
        <f t="shared" ref="I274" si="709">H274*100/E274</f>
        <v>19.572275589134737</v>
      </c>
      <c r="J274" s="7">
        <v>0</v>
      </c>
      <c r="K274" s="7">
        <f>18306.99+15516.09+12060+7620+10158+2235+42906.2</f>
        <v>108802.28</v>
      </c>
      <c r="L274" s="7">
        <f t="shared" ref="L274" si="710">N274+O274</f>
        <v>0</v>
      </c>
      <c r="M274" s="7">
        <f t="shared" ref="M274" si="711">L274*100/E274</f>
        <v>0</v>
      </c>
      <c r="N274" s="7">
        <v>0</v>
      </c>
      <c r="O274" s="7">
        <v>0</v>
      </c>
      <c r="P274" s="7">
        <f t="shared" ref="P274" si="712">R274+S274</f>
        <v>447097.72</v>
      </c>
      <c r="Q274" s="7">
        <f t="shared" si="707"/>
        <v>80.427724410865267</v>
      </c>
      <c r="R274" s="7">
        <f t="shared" ref="R274" si="713">F274-J274-N274</f>
        <v>0</v>
      </c>
      <c r="S274" s="7">
        <f t="shared" ref="S274" si="714">G274-K274-O274</f>
        <v>447097.72</v>
      </c>
    </row>
    <row r="275" spans="1:20" ht="30" customHeight="1" x14ac:dyDescent="0.5">
      <c r="A275" s="15"/>
      <c r="B275" s="55" t="s">
        <v>37</v>
      </c>
      <c r="C275" s="64"/>
      <c r="D275" s="64"/>
      <c r="E275" s="56">
        <f t="shared" ref="E275:E277" si="715">F275+G275</f>
        <v>81389570</v>
      </c>
      <c r="F275" s="57">
        <f>F276+F279+F284+F287</f>
        <v>61845900</v>
      </c>
      <c r="G275" s="56">
        <f>G276+G279+G282+G284+G287</f>
        <v>19543670</v>
      </c>
      <c r="H275" s="57">
        <f>J275+K275</f>
        <v>8633559.75</v>
      </c>
      <c r="I275" s="52">
        <f>H275*100/E275</f>
        <v>10.607697951961166</v>
      </c>
      <c r="J275" s="57">
        <f>J276+J279+J282+J284+J287</f>
        <v>1306200</v>
      </c>
      <c r="K275" s="57">
        <f>K276+K279+K282+K284+K287</f>
        <v>7327359.75</v>
      </c>
      <c r="L275" s="57">
        <f>N275+O275</f>
        <v>0</v>
      </c>
      <c r="M275" s="55">
        <f>L275*100/E275</f>
        <v>0</v>
      </c>
      <c r="N275" s="57">
        <f>N276+N279+N284</f>
        <v>0</v>
      </c>
      <c r="O275" s="57">
        <f>O276+O279+O284</f>
        <v>0</v>
      </c>
      <c r="P275" s="57">
        <f>R275+S275</f>
        <v>72756010.25</v>
      </c>
      <c r="Q275" s="56">
        <f>P275*100/E275</f>
        <v>89.392302048038829</v>
      </c>
      <c r="R275" s="57">
        <f>F275-J275-N275</f>
        <v>60539700</v>
      </c>
      <c r="S275" s="57">
        <f>G275-K275-O275</f>
        <v>12216310.25</v>
      </c>
      <c r="T275" s="26">
        <f>I275+Q275</f>
        <v>100</v>
      </c>
    </row>
    <row r="276" spans="1:20" ht="30" customHeight="1" x14ac:dyDescent="0.5">
      <c r="A276" s="15"/>
      <c r="B276" s="48" t="s">
        <v>31</v>
      </c>
      <c r="C276" s="63"/>
      <c r="D276" s="63"/>
      <c r="E276" s="49">
        <f t="shared" si="715"/>
        <v>15537000</v>
      </c>
      <c r="F276" s="49">
        <f>SUM(F277:F278)</f>
        <v>0</v>
      </c>
      <c r="G276" s="49">
        <f>SUM(G277:G278)</f>
        <v>15537000</v>
      </c>
      <c r="H276" s="49">
        <f>J276+K276</f>
        <v>5727713.6200000001</v>
      </c>
      <c r="I276" s="49">
        <f>H276*100/E276</f>
        <v>36.864990796163994</v>
      </c>
      <c r="J276" s="49">
        <f>SUM(J277:J278)</f>
        <v>0</v>
      </c>
      <c r="K276" s="49">
        <f>SUM(K277:K278)</f>
        <v>5727713.6200000001</v>
      </c>
      <c r="L276" s="49">
        <f>N276+O276</f>
        <v>0</v>
      </c>
      <c r="M276" s="48"/>
      <c r="N276" s="49">
        <f>SUM(N277:N278)</f>
        <v>0</v>
      </c>
      <c r="O276" s="49">
        <f>SUM(O277:O278)</f>
        <v>0</v>
      </c>
      <c r="P276" s="49">
        <f>R276+S276</f>
        <v>9809286.379999999</v>
      </c>
      <c r="Q276" s="49">
        <f t="shared" ref="Q276:Q277" si="716">P276*100/E276</f>
        <v>63.135009203835999</v>
      </c>
      <c r="R276" s="49">
        <f>SUM(R277:R278)</f>
        <v>0</v>
      </c>
      <c r="S276" s="49">
        <f>G276-K276-O276</f>
        <v>9809286.379999999</v>
      </c>
    </row>
    <row r="277" spans="1:20" ht="30" customHeight="1" x14ac:dyDescent="0.5">
      <c r="A277" s="15">
        <v>243</v>
      </c>
      <c r="B277" s="53" t="str">
        <f>[35]รายการสรุป!$E$5</f>
        <v>ปรับปรุงทำนบดินพร้อมอาคารประกอบอ่างเก็บน้ำแม่แก่ง อ.เถิน จ.ลำปาง</v>
      </c>
      <c r="C277" s="24" t="str">
        <f>[35]รายการสรุป!$I$5</f>
        <v>0700341029420005</v>
      </c>
      <c r="D277" s="6" t="s">
        <v>38</v>
      </c>
      <c r="E277" s="7">
        <f t="shared" si="715"/>
        <v>15000000</v>
      </c>
      <c r="F277" s="7">
        <v>0</v>
      </c>
      <c r="G277" s="8">
        <f>[35]รายการสรุป!$J$5</f>
        <v>15000000</v>
      </c>
      <c r="H277" s="7">
        <f t="shared" ref="H277" si="717">J277+K277</f>
        <v>5630640.0200000005</v>
      </c>
      <c r="I277" s="7">
        <f t="shared" ref="I277" si="718">H277*100/E277</f>
        <v>37.537600133333335</v>
      </c>
      <c r="J277" s="7">
        <v>0</v>
      </c>
      <c r="K277" s="7">
        <f>29920+14180+5120+111054.4+30000+10080+91900-1800+7500+239712+26532+17556.45+13920+111054.4+25747.1+88274.1+242910+63202.76+13600+6960+45340+152722.6+91036.7+1520+80464.8+18460+59984+244710+41436.45+6160+42825.5+2460+65256+22252+21060+3600+13680+327016.25+468963.4+25660+28221.6+112801.5+4062+15013.5+52390.6+193640.05+35037.8+11866+16375.7+112918.8+79608+45459+154140+98905+18625.2+3360+21072.4+153644.15+440253.1+815444.86+35037.8+5015.7+185219.15+110497.2</f>
        <v>5630640.0200000005</v>
      </c>
      <c r="L277" s="7">
        <f t="shared" ref="L277" si="719">N277+O277</f>
        <v>0</v>
      </c>
      <c r="M277" s="7">
        <f t="shared" ref="M277" si="720">L277*100/E277</f>
        <v>0</v>
      </c>
      <c r="N277" s="7">
        <v>0</v>
      </c>
      <c r="O277" s="7">
        <v>0</v>
      </c>
      <c r="P277" s="7">
        <f t="shared" ref="P277" si="721">R277+S277</f>
        <v>9369359.9800000004</v>
      </c>
      <c r="Q277" s="7">
        <f t="shared" si="716"/>
        <v>62.462399866666665</v>
      </c>
      <c r="R277" s="7">
        <f t="shared" ref="R277" si="722">F277-J277-N277</f>
        <v>0</v>
      </c>
      <c r="S277" s="7">
        <f t="shared" ref="S277" si="723">G277-K277-O277</f>
        <v>9369359.9800000004</v>
      </c>
    </row>
    <row r="278" spans="1:20" ht="30" customHeight="1" x14ac:dyDescent="0.5">
      <c r="A278" s="15">
        <v>244</v>
      </c>
      <c r="B278" s="53" t="str">
        <f>[35]รายการสรุป!$E$6</f>
        <v>อาคารป้องกันการกัดเซาะตลิ่งแม่น้ำวังท้ายเขื่อนกิ่วลมบ้านสบมาย อ.เมือง จ.ลำปาง</v>
      </c>
      <c r="C278" s="24" t="str">
        <f>[35]รายการสรุป!$I$6</f>
        <v>0700341029420027</v>
      </c>
      <c r="D278" s="6" t="s">
        <v>38</v>
      </c>
      <c r="E278" s="7">
        <f t="shared" ref="E278:E280" si="724">F278+G278</f>
        <v>537000</v>
      </c>
      <c r="F278" s="7">
        <v>0</v>
      </c>
      <c r="G278" s="8">
        <f>[35]รายการสรุป!$J$6</f>
        <v>537000</v>
      </c>
      <c r="H278" s="7">
        <f t="shared" ref="H278" si="725">J278+K278</f>
        <v>97073.599999999991</v>
      </c>
      <c r="I278" s="7">
        <f t="shared" ref="I278" si="726">H278*100/E278</f>
        <v>18.077020484171321</v>
      </c>
      <c r="J278" s="7">
        <v>0</v>
      </c>
      <c r="K278" s="7">
        <f>20624+7256.35+5004.5+6309+4550+5004.5+21769.05+6940.9+19615.3</f>
        <v>97073.599999999991</v>
      </c>
      <c r="L278" s="7">
        <f t="shared" ref="L278" si="727">N278+O278</f>
        <v>0</v>
      </c>
      <c r="M278" s="7">
        <f t="shared" ref="M278" si="728">L278*100/E278</f>
        <v>0</v>
      </c>
      <c r="N278" s="7">
        <v>0</v>
      </c>
      <c r="O278" s="7">
        <v>0</v>
      </c>
      <c r="P278" s="7">
        <f t="shared" ref="P278" si="729">R278+S278</f>
        <v>439926.4</v>
      </c>
      <c r="Q278" s="7">
        <f t="shared" ref="Q278:Q282" si="730">P278*100/E278</f>
        <v>81.922979515828672</v>
      </c>
      <c r="R278" s="7">
        <f t="shared" ref="R278" si="731">F278-J278-N278</f>
        <v>0</v>
      </c>
      <c r="S278" s="7">
        <f t="shared" ref="S278" si="732">G278-K278-O278</f>
        <v>439926.4</v>
      </c>
    </row>
    <row r="279" spans="1:20" ht="30" customHeight="1" x14ac:dyDescent="0.5">
      <c r="A279" s="15"/>
      <c r="B279" s="48" t="s">
        <v>48</v>
      </c>
      <c r="C279" s="63"/>
      <c r="D279" s="63"/>
      <c r="E279" s="49">
        <f t="shared" si="724"/>
        <v>33027100</v>
      </c>
      <c r="F279" s="49">
        <f>SUM(F280:F281)</f>
        <v>33027100</v>
      </c>
      <c r="G279" s="49">
        <f>SUM(G280:G281)</f>
        <v>0</v>
      </c>
      <c r="H279" s="49">
        <f>J279+K279</f>
        <v>0</v>
      </c>
      <c r="I279" s="49">
        <f>H279*100/E279</f>
        <v>0</v>
      </c>
      <c r="J279" s="49">
        <f>SUM(J280:J281)</f>
        <v>0</v>
      </c>
      <c r="K279" s="49">
        <f>SUM(K280:K281)</f>
        <v>0</v>
      </c>
      <c r="L279" s="49">
        <f>N279+O279</f>
        <v>0</v>
      </c>
      <c r="M279" s="48"/>
      <c r="N279" s="49">
        <f>SUM(N280:N281)</f>
        <v>0</v>
      </c>
      <c r="O279" s="49">
        <f>SUM(O280:O281)</f>
        <v>0</v>
      </c>
      <c r="P279" s="49">
        <f>R279+S279</f>
        <v>33027100</v>
      </c>
      <c r="Q279" s="49">
        <f t="shared" si="730"/>
        <v>100</v>
      </c>
      <c r="R279" s="49">
        <f>F279-J279-N279</f>
        <v>33027100</v>
      </c>
      <c r="S279" s="49">
        <f>G279-K279-O279</f>
        <v>0</v>
      </c>
    </row>
    <row r="280" spans="1:20" ht="30" customHeight="1" x14ac:dyDescent="0.5">
      <c r="A280" s="15">
        <v>245</v>
      </c>
      <c r="B280" s="53" t="str">
        <f>[36]รายการสรุป!$E$5</f>
        <v>เขื่อนหัวงานและอาคารประกอบพร้อมส่วนประกอบอื่นโครงการปรับปรุงเขื่อนแม่สรวย จ.เชียงราย</v>
      </c>
      <c r="C280" s="24" t="str">
        <f>[36]รายการสรุป!$I$5</f>
        <v>0700341029420135</v>
      </c>
      <c r="D280" s="6" t="s">
        <v>47</v>
      </c>
      <c r="E280" s="7">
        <f t="shared" si="724"/>
        <v>31756800</v>
      </c>
      <c r="F280" s="7">
        <f>[36]รายการสรุป!$J$5</f>
        <v>31756800</v>
      </c>
      <c r="G280" s="8">
        <v>0</v>
      </c>
      <c r="H280" s="7">
        <f t="shared" ref="H280" si="733">J280+K280</f>
        <v>0</v>
      </c>
      <c r="I280" s="7">
        <f t="shared" ref="I280" si="734">H280*100/E280</f>
        <v>0</v>
      </c>
      <c r="J280" s="7">
        <v>0</v>
      </c>
      <c r="K280" s="7">
        <v>0</v>
      </c>
      <c r="L280" s="7">
        <f t="shared" ref="L280" si="735">N280+O280</f>
        <v>0</v>
      </c>
      <c r="M280" s="7">
        <f t="shared" ref="M280" si="736">L280*100/E280</f>
        <v>0</v>
      </c>
      <c r="N280" s="7">
        <v>0</v>
      </c>
      <c r="O280" s="7">
        <v>0</v>
      </c>
      <c r="P280" s="7">
        <f t="shared" ref="P280" si="737">R280+S280</f>
        <v>31756800</v>
      </c>
      <c r="Q280" s="7">
        <f t="shared" si="730"/>
        <v>100</v>
      </c>
      <c r="R280" s="7">
        <f t="shared" ref="R280" si="738">F280-J280-N280</f>
        <v>31756800</v>
      </c>
      <c r="S280" s="7">
        <f t="shared" ref="S280" si="739">G280-K280-O280</f>
        <v>0</v>
      </c>
    </row>
    <row r="281" spans="1:20" ht="45.75" customHeight="1" x14ac:dyDescent="0.5">
      <c r="A281" s="15">
        <v>246</v>
      </c>
      <c r="B281" s="53" t="str">
        <f>[36]รายการสรุป!$E$6</f>
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281" s="24" t="str">
        <f>[36]รายการสรุป!$I$6</f>
        <v>0700341029420076</v>
      </c>
      <c r="D281" s="6" t="s">
        <v>47</v>
      </c>
      <c r="E281" s="7">
        <f t="shared" ref="E281:E285" si="740">F281+G281</f>
        <v>1270300</v>
      </c>
      <c r="F281" s="7">
        <f>[36]รายการสรุป!$J$6</f>
        <v>1270300</v>
      </c>
      <c r="G281" s="8">
        <v>0</v>
      </c>
      <c r="H281" s="7">
        <f t="shared" ref="H281" si="741">J281+K281</f>
        <v>0</v>
      </c>
      <c r="I281" s="7">
        <f t="shared" ref="I281" si="742">H281*100/E281</f>
        <v>0</v>
      </c>
      <c r="J281" s="7">
        <v>0</v>
      </c>
      <c r="K281" s="7">
        <v>0</v>
      </c>
      <c r="L281" s="7">
        <f t="shared" ref="L281" si="743">N281+O281</f>
        <v>0</v>
      </c>
      <c r="M281" s="7">
        <f t="shared" ref="M281" si="744">L281*100/E281</f>
        <v>0</v>
      </c>
      <c r="N281" s="7">
        <v>0</v>
      </c>
      <c r="O281" s="7">
        <v>0</v>
      </c>
      <c r="P281" s="7">
        <f t="shared" ref="P281" si="745">R281+S281</f>
        <v>1270300</v>
      </c>
      <c r="Q281" s="7">
        <f t="shared" ref="Q281:Q285" si="746">P281*100/E281</f>
        <v>100</v>
      </c>
      <c r="R281" s="7">
        <f t="shared" ref="R281" si="747">F281-J281-N281</f>
        <v>1270300</v>
      </c>
      <c r="S281" s="7">
        <f t="shared" ref="S281" si="748">G281-K281-O281</f>
        <v>0</v>
      </c>
    </row>
    <row r="282" spans="1:20" ht="41.25" customHeight="1" x14ac:dyDescent="0.5">
      <c r="A282" s="15"/>
      <c r="B282" s="48" t="s">
        <v>80</v>
      </c>
      <c r="C282" s="63"/>
      <c r="D282" s="63"/>
      <c r="E282" s="49">
        <f t="shared" si="740"/>
        <v>952700</v>
      </c>
      <c r="F282" s="49">
        <v>0</v>
      </c>
      <c r="G282" s="49">
        <f>G283</f>
        <v>952700</v>
      </c>
      <c r="H282" s="49">
        <f>J282+K282</f>
        <v>0</v>
      </c>
      <c r="I282" s="49">
        <f>H282*100/E282</f>
        <v>0</v>
      </c>
      <c r="J282" s="49">
        <f>SUM(J283)</f>
        <v>0</v>
      </c>
      <c r="K282" s="49">
        <f>K283</f>
        <v>0</v>
      </c>
      <c r="L282" s="49">
        <f>N282+O282</f>
        <v>0</v>
      </c>
      <c r="M282" s="48"/>
      <c r="N282" s="49">
        <f>SUM(N283:N284)</f>
        <v>0</v>
      </c>
      <c r="O282" s="49">
        <f>O283</f>
        <v>0</v>
      </c>
      <c r="P282" s="49">
        <f>R282+S282</f>
        <v>952700</v>
      </c>
      <c r="Q282" s="49">
        <f t="shared" si="730"/>
        <v>100</v>
      </c>
      <c r="R282" s="49">
        <f>R283</f>
        <v>0</v>
      </c>
      <c r="S282" s="49">
        <f>G282-K282-O282</f>
        <v>952700</v>
      </c>
    </row>
    <row r="283" spans="1:20" ht="38.25" customHeight="1" x14ac:dyDescent="0.5">
      <c r="A283" s="15">
        <v>247</v>
      </c>
      <c r="B283" s="53" t="str">
        <f>[37]รายการสรุป!$E$7</f>
        <v>ค่าควบคุมงานจ้างเหมาโครงการปรับปรุงเขื่อนแม่สรวย จ.เชียงราย</v>
      </c>
      <c r="C283" s="24" t="str">
        <f>[37]รายการสรุป!$I$7</f>
        <v>0700341029410043</v>
      </c>
      <c r="D283" s="6" t="s">
        <v>49</v>
      </c>
      <c r="E283" s="7">
        <f t="shared" ref="E283" si="749">F283+G283</f>
        <v>952700</v>
      </c>
      <c r="F283" s="7">
        <v>0</v>
      </c>
      <c r="G283" s="8">
        <f>[37]รายการสรุป!$J$7</f>
        <v>952700</v>
      </c>
      <c r="H283" s="7">
        <f t="shared" ref="H283" si="750">J283+K283</f>
        <v>0</v>
      </c>
      <c r="I283" s="7">
        <f t="shared" ref="I283" si="751">H283*100/E283</f>
        <v>0</v>
      </c>
      <c r="J283" s="7">
        <v>0</v>
      </c>
      <c r="K283" s="7">
        <v>0</v>
      </c>
      <c r="L283" s="7">
        <f t="shared" ref="L283" si="752">N283+O283</f>
        <v>0</v>
      </c>
      <c r="M283" s="7">
        <f t="shared" ref="M283" si="753">L283*100/E283</f>
        <v>0</v>
      </c>
      <c r="N283" s="7">
        <v>0</v>
      </c>
      <c r="O283" s="7">
        <v>0</v>
      </c>
      <c r="P283" s="7">
        <f t="shared" ref="P283" si="754">R283+S283</f>
        <v>952700</v>
      </c>
      <c r="Q283" s="7">
        <f t="shared" ref="Q283" si="755">P283*100/E283</f>
        <v>100</v>
      </c>
      <c r="R283" s="7">
        <f t="shared" ref="R283" si="756">F283-J283-N283</f>
        <v>0</v>
      </c>
      <c r="S283" s="7">
        <f t="shared" ref="S283" si="757">G283-K283-O283</f>
        <v>952700</v>
      </c>
    </row>
    <row r="284" spans="1:20" ht="30" customHeight="1" x14ac:dyDescent="0.5">
      <c r="A284" s="15"/>
      <c r="B284" s="48" t="s">
        <v>43</v>
      </c>
      <c r="C284" s="63"/>
      <c r="D284" s="63"/>
      <c r="E284" s="49">
        <f t="shared" si="740"/>
        <v>13148600</v>
      </c>
      <c r="F284" s="49">
        <f>SUM(F285:F286)</f>
        <v>10640000</v>
      </c>
      <c r="G284" s="49">
        <f>SUM(G285:G286)</f>
        <v>2508600</v>
      </c>
      <c r="H284" s="49">
        <f>J284+K284</f>
        <v>1440016.1300000001</v>
      </c>
      <c r="I284" s="49">
        <f>H284*100/E284</f>
        <v>10.951858981184309</v>
      </c>
      <c r="J284" s="49">
        <f>SUM(J285:J286)</f>
        <v>0</v>
      </c>
      <c r="K284" s="49">
        <f>SUM(K285:K286)</f>
        <v>1440016.1300000001</v>
      </c>
      <c r="L284" s="49">
        <f>N284+O284</f>
        <v>0</v>
      </c>
      <c r="M284" s="48"/>
      <c r="N284" s="49">
        <f>SUM(N285:N286)</f>
        <v>0</v>
      </c>
      <c r="O284" s="49">
        <f>SUM(O285:O286)</f>
        <v>0</v>
      </c>
      <c r="P284" s="49">
        <f>R284+S284</f>
        <v>11708583.869999999</v>
      </c>
      <c r="Q284" s="49">
        <f t="shared" si="746"/>
        <v>89.048141018815684</v>
      </c>
      <c r="R284" s="49">
        <f>SUM(R285:R286)</f>
        <v>10640000</v>
      </c>
      <c r="S284" s="49">
        <f>G284-K284-O284</f>
        <v>1068583.8699999999</v>
      </c>
    </row>
    <row r="285" spans="1:20" ht="30" customHeight="1" x14ac:dyDescent="0.5">
      <c r="A285" s="15">
        <v>248</v>
      </c>
      <c r="B285" s="53" t="str">
        <f>[38]รายการสรุป!$E$5</f>
        <v>ปรับปรุงฐานยันเขื่อนอ่างเก็บน้ำดอยงู อ.เวียงป่าเป้า จ.เชียงราย</v>
      </c>
      <c r="C285" s="24" t="str">
        <f>[38]รายการสรุป!$I$5</f>
        <v>0700341029420006</v>
      </c>
      <c r="D285" s="6" t="s">
        <v>49</v>
      </c>
      <c r="E285" s="7">
        <f t="shared" si="740"/>
        <v>11759600</v>
      </c>
      <c r="F285" s="7">
        <f>[38]รายการสรุป!$J$7</f>
        <v>10640000</v>
      </c>
      <c r="G285" s="8">
        <f>[38]รายการสรุป!$J$5</f>
        <v>1119600</v>
      </c>
      <c r="H285" s="7">
        <f t="shared" ref="H285" si="758">J285+K285</f>
        <v>869506.4</v>
      </c>
      <c r="I285" s="7">
        <f t="shared" ref="I285" si="759">H285*100/E285</f>
        <v>7.3940134018163883</v>
      </c>
      <c r="J285" s="7">
        <v>0</v>
      </c>
      <c r="K285" s="7">
        <f>5920+3000+2320+7440+3822+99950+7200+161387.5+3860+34960+34068.6+41300+4297+3273+56781+32000+1280+30370+65307.15+42332.4+48263.85+42344.55+14078+6630.9+62468.1+6455.9+41436.45+6960</f>
        <v>869506.4</v>
      </c>
      <c r="L285" s="7">
        <f t="shared" ref="L285" si="760">N285+O285</f>
        <v>0</v>
      </c>
      <c r="M285" s="7">
        <f t="shared" ref="M285" si="761">L285*100/E285</f>
        <v>0</v>
      </c>
      <c r="N285" s="7">
        <v>0</v>
      </c>
      <c r="O285" s="7">
        <v>0</v>
      </c>
      <c r="P285" s="7">
        <f t="shared" ref="P285" si="762">R285+S285</f>
        <v>10890093.6</v>
      </c>
      <c r="Q285" s="7">
        <f t="shared" si="746"/>
        <v>92.605986598183605</v>
      </c>
      <c r="R285" s="7">
        <f t="shared" ref="R285" si="763">F285-J285-N285</f>
        <v>10640000</v>
      </c>
      <c r="S285" s="7">
        <f t="shared" ref="S285" si="764">G285-K285-O285</f>
        <v>250093.59999999998</v>
      </c>
    </row>
    <row r="286" spans="1:20" ht="30" customHeight="1" x14ac:dyDescent="0.5">
      <c r="A286" s="15">
        <v>249</v>
      </c>
      <c r="B286" s="53" t="str">
        <f>[38]รายการสรุป!$E$6</f>
        <v>ปรับปรุงลาดไหล่เขาฝั่งขวาโครงการเขื่อนแม่สรวย อ.แม่สรวย จ.เชียงราย</v>
      </c>
      <c r="C286" s="24" t="str">
        <f>[38]รายการสรุป!$I$6</f>
        <v>0700341029420026</v>
      </c>
      <c r="D286" s="6" t="s">
        <v>49</v>
      </c>
      <c r="E286" s="7">
        <f t="shared" ref="E286:E287" si="765">F286+G286</f>
        <v>1389000</v>
      </c>
      <c r="F286" s="7">
        <v>0</v>
      </c>
      <c r="G286" s="8">
        <f>[38]รายการสรุป!$J$6</f>
        <v>1389000</v>
      </c>
      <c r="H286" s="7">
        <f t="shared" ref="H286" si="766">J286+K286</f>
        <v>570509.7300000001</v>
      </c>
      <c r="I286" s="7">
        <f t="shared" ref="I286" si="767">H286*100/E286</f>
        <v>41.07341468682506</v>
      </c>
      <c r="J286" s="7">
        <v>0</v>
      </c>
      <c r="K286" s="7">
        <f>98855.55+3674.83+6309+99171+13440+24376+12642+121313.45+45520+12618+41742+14512.7+29025.4+47309.8</f>
        <v>570509.7300000001</v>
      </c>
      <c r="L286" s="7">
        <f t="shared" ref="L286" si="768">N286+O286</f>
        <v>0</v>
      </c>
      <c r="M286" s="7">
        <f t="shared" ref="M286" si="769">L286*100/E286</f>
        <v>0</v>
      </c>
      <c r="N286" s="7">
        <v>0</v>
      </c>
      <c r="O286" s="7">
        <v>0</v>
      </c>
      <c r="P286" s="7">
        <f t="shared" ref="P286" si="770">R286+S286</f>
        <v>818490.2699999999</v>
      </c>
      <c r="Q286" s="7">
        <f t="shared" ref="Q286:Q287" si="771">P286*100/E286</f>
        <v>58.926585313174932</v>
      </c>
      <c r="R286" s="7">
        <f t="shared" ref="R286" si="772">F286-J286-N286</f>
        <v>0</v>
      </c>
      <c r="S286" s="7">
        <f t="shared" ref="S286" si="773">G286-K286-O286</f>
        <v>818490.2699999999</v>
      </c>
    </row>
    <row r="287" spans="1:20" ht="30" customHeight="1" x14ac:dyDescent="0.5">
      <c r="A287" s="15"/>
      <c r="B287" s="48" t="s">
        <v>88</v>
      </c>
      <c r="C287" s="63"/>
      <c r="D287" s="63"/>
      <c r="E287" s="49">
        <f t="shared" si="765"/>
        <v>18724170</v>
      </c>
      <c r="F287" s="49">
        <f>SUM(F288:F289)</f>
        <v>18178800</v>
      </c>
      <c r="G287" s="49">
        <f>SUM(G288:G289)</f>
        <v>545370</v>
      </c>
      <c r="H287" s="49">
        <f>J287+K287</f>
        <v>1465830</v>
      </c>
      <c r="I287" s="49">
        <f>H287*100/E287</f>
        <v>7.8285446030451551</v>
      </c>
      <c r="J287" s="49">
        <f>SUM(J288:J289)</f>
        <v>1306200</v>
      </c>
      <c r="K287" s="49">
        <f>SUM(K288:K289)</f>
        <v>159630</v>
      </c>
      <c r="L287" s="49">
        <f>N287+O287</f>
        <v>0</v>
      </c>
      <c r="M287" s="48"/>
      <c r="N287" s="49">
        <f>SUM(N288:N289)</f>
        <v>0</v>
      </c>
      <c r="O287" s="49">
        <f>SUM(O288:O289)</f>
        <v>0</v>
      </c>
      <c r="P287" s="49">
        <f>R287+S287</f>
        <v>17258340</v>
      </c>
      <c r="Q287" s="49">
        <f t="shared" si="771"/>
        <v>92.17145539695484</v>
      </c>
      <c r="R287" s="49">
        <f>F287-J287-N287</f>
        <v>16872600</v>
      </c>
      <c r="S287" s="49">
        <f>G287-K287-O287</f>
        <v>385740</v>
      </c>
    </row>
    <row r="288" spans="1:20" ht="30" customHeight="1" x14ac:dyDescent="0.5">
      <c r="A288" s="15">
        <v>250</v>
      </c>
      <c r="B288" s="53" t="str">
        <f>[39]รายการสรุป!$E$5</f>
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</c>
      <c r="C288" s="24" t="str">
        <f>[39]รายการสรุป!$I$5</f>
        <v>0700341029420080</v>
      </c>
      <c r="D288" s="6" t="s">
        <v>89</v>
      </c>
      <c r="E288" s="7">
        <f t="shared" ref="E288" si="774">F288+G288</f>
        <v>10815000</v>
      </c>
      <c r="F288" s="7">
        <f>[39]รายการสรุป!$J$5</f>
        <v>10500000</v>
      </c>
      <c r="G288" s="8">
        <f>[39]รายการสรุป!$J$7</f>
        <v>315000</v>
      </c>
      <c r="H288" s="7">
        <f t="shared" ref="H288" si="775">J288+K288</f>
        <v>1375760</v>
      </c>
      <c r="I288" s="7">
        <f t="shared" ref="I288" si="776">H288*100/E288</f>
        <v>12.720850670365234</v>
      </c>
      <c r="J288" s="7">
        <f>1306200</f>
        <v>1306200</v>
      </c>
      <c r="K288" s="7">
        <f>8320+1280+9280+3840+5820+9280+4640+10560+16540</f>
        <v>69560</v>
      </c>
      <c r="L288" s="7">
        <f t="shared" ref="L288" si="777">N288+O288</f>
        <v>0</v>
      </c>
      <c r="M288" s="7">
        <f t="shared" ref="M288" si="778">L288*100/E288</f>
        <v>0</v>
      </c>
      <c r="N288" s="7">
        <v>0</v>
      </c>
      <c r="O288" s="7">
        <v>0</v>
      </c>
      <c r="P288" s="7">
        <f t="shared" ref="P288" si="779">R288+S288</f>
        <v>9439240</v>
      </c>
      <c r="Q288" s="7">
        <f t="shared" ref="Q288" si="780">P288*100/E288</f>
        <v>87.279149329634762</v>
      </c>
      <c r="R288" s="7">
        <f t="shared" ref="R288" si="781">F288-J288-N288</f>
        <v>9193800</v>
      </c>
      <c r="S288" s="7">
        <f t="shared" ref="S288" si="782">G288-K288-O288</f>
        <v>245440</v>
      </c>
    </row>
    <row r="289" spans="1:20" ht="50.25" customHeight="1" x14ac:dyDescent="0.5">
      <c r="A289" s="15">
        <v>251</v>
      </c>
      <c r="B289" s="53" t="str">
        <f>[39]รายการสรุป!$E$6</f>
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</c>
      <c r="C289" s="24" t="str">
        <f>[39]รายการสรุป!$I$6</f>
        <v>0700341029420081</v>
      </c>
      <c r="D289" s="6" t="s">
        <v>89</v>
      </c>
      <c r="E289" s="7">
        <f t="shared" ref="E289" si="783">F289+G289</f>
        <v>7909170</v>
      </c>
      <c r="F289" s="7">
        <f>[39]รายการสรุป!$J$6</f>
        <v>7678800</v>
      </c>
      <c r="G289" s="8">
        <f>[39]รายการสรุป!$J$8</f>
        <v>230370</v>
      </c>
      <c r="H289" s="7">
        <f t="shared" ref="H289" si="784">J289+K289</f>
        <v>90070</v>
      </c>
      <c r="I289" s="7">
        <f t="shared" ref="I289" si="785">H289*100/E289</f>
        <v>1.138804703906984</v>
      </c>
      <c r="J289" s="7">
        <v>0</v>
      </c>
      <c r="K289" s="7">
        <f>4978+6382+27140+1760+49810</f>
        <v>90070</v>
      </c>
      <c r="L289" s="7">
        <f t="shared" ref="L289" si="786">N289+O289</f>
        <v>0</v>
      </c>
      <c r="M289" s="7">
        <f t="shared" ref="M289" si="787">L289*100/E289</f>
        <v>0</v>
      </c>
      <c r="N289" s="7">
        <v>0</v>
      </c>
      <c r="O289" s="7">
        <v>0</v>
      </c>
      <c r="P289" s="7">
        <f t="shared" ref="P289" si="788">R289+S289</f>
        <v>7819100</v>
      </c>
      <c r="Q289" s="7">
        <f t="shared" ref="Q289" si="789">P289*100/E289</f>
        <v>98.861195296093015</v>
      </c>
      <c r="R289" s="7">
        <f t="shared" ref="R289" si="790">F289-J289-N289</f>
        <v>7678800</v>
      </c>
      <c r="S289" s="7">
        <f t="shared" ref="S289" si="791">G289-K289-O289</f>
        <v>140300</v>
      </c>
    </row>
    <row r="290" spans="1:20" ht="30" customHeight="1" x14ac:dyDescent="0.5">
      <c r="A290" s="15"/>
      <c r="B290" s="55" t="s">
        <v>94</v>
      </c>
      <c r="C290" s="64"/>
      <c r="D290" s="64"/>
      <c r="E290" s="56">
        <f t="shared" ref="E290:E291" si="792">F290+G290</f>
        <v>2242700</v>
      </c>
      <c r="F290" s="57">
        <f>F291+F299+F304+F307</f>
        <v>0</v>
      </c>
      <c r="G290" s="56">
        <f>SUM(G291:G292)</f>
        <v>2242700</v>
      </c>
      <c r="H290" s="57">
        <f>J290+K290</f>
        <v>735167.8</v>
      </c>
      <c r="I290" s="55">
        <f>H290*100/E290</f>
        <v>32.780478887055779</v>
      </c>
      <c r="J290" s="57">
        <f>J291</f>
        <v>0</v>
      </c>
      <c r="K290" s="57">
        <f>SUM(K291:K292)</f>
        <v>735167.8</v>
      </c>
      <c r="L290" s="57">
        <f>N290+O290</f>
        <v>0</v>
      </c>
      <c r="M290" s="55">
        <f>L290*100/E290</f>
        <v>0</v>
      </c>
      <c r="N290" s="57">
        <f>N291</f>
        <v>0</v>
      </c>
      <c r="O290" s="57">
        <f>SUM(O291:O292)</f>
        <v>0</v>
      </c>
      <c r="P290" s="57">
        <f>R290+S290</f>
        <v>1507532.2</v>
      </c>
      <c r="Q290" s="56">
        <f>P290*100/E290</f>
        <v>67.219521112944221</v>
      </c>
      <c r="R290" s="57">
        <f>F290-J290-N290</f>
        <v>0</v>
      </c>
      <c r="S290" s="57">
        <f>G290-K290-O290</f>
        <v>1507532.2</v>
      </c>
      <c r="T290" s="26">
        <f>I290+Q290</f>
        <v>100</v>
      </c>
    </row>
    <row r="291" spans="1:20" ht="30" customHeight="1" x14ac:dyDescent="0.5">
      <c r="A291" s="15">
        <v>252</v>
      </c>
      <c r="B291" s="53" t="str">
        <f>[40]รายการสรุป!$E$5</f>
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</c>
      <c r="C291" s="24" t="str">
        <f>[40]รายการสรุป!$I$5</f>
        <v>0700341031410001</v>
      </c>
      <c r="D291" s="6" t="s">
        <v>90</v>
      </c>
      <c r="E291" s="7">
        <f t="shared" si="792"/>
        <v>1902700</v>
      </c>
      <c r="F291" s="7">
        <v>0</v>
      </c>
      <c r="G291" s="8">
        <f>[40]รายการสรุป!$J$5</f>
        <v>1902700</v>
      </c>
      <c r="H291" s="7">
        <f t="shared" ref="H291" si="793">J291+K291</f>
        <v>575198.1</v>
      </c>
      <c r="I291" s="7">
        <f t="shared" ref="I291" si="794">H291*100/E291</f>
        <v>30.230624901455826</v>
      </c>
      <c r="J291" s="7">
        <v>0</v>
      </c>
      <c r="K291" s="7">
        <f>4450+20632+333792.1+216324</f>
        <v>575198.1</v>
      </c>
      <c r="L291" s="7">
        <f t="shared" ref="L291" si="795">N291+O291</f>
        <v>0</v>
      </c>
      <c r="M291" s="7">
        <f t="shared" ref="M291" si="796">L291*100/E291</f>
        <v>0</v>
      </c>
      <c r="N291" s="7">
        <v>0</v>
      </c>
      <c r="O291" s="7">
        <v>0</v>
      </c>
      <c r="P291" s="7">
        <f t="shared" ref="P291" si="797">R291+S291</f>
        <v>1327501.8999999999</v>
      </c>
      <c r="Q291" s="7">
        <f t="shared" ref="Q291" si="798">P291*100/E291</f>
        <v>69.76937509854416</v>
      </c>
      <c r="R291" s="7">
        <f t="shared" ref="R291" si="799">F291-J291-N291</f>
        <v>0</v>
      </c>
      <c r="S291" s="7">
        <f t="shared" ref="S291" si="800">G291-K291-O291</f>
        <v>1327501.8999999999</v>
      </c>
    </row>
    <row r="292" spans="1:20" ht="48" customHeight="1" x14ac:dyDescent="0.5">
      <c r="A292" s="15">
        <v>253</v>
      </c>
      <c r="B292" s="53" t="str">
        <f>[41]รายการสรุป!$E$5</f>
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</c>
      <c r="C292" s="24" t="str">
        <f>[41]รายการสรุป!$I$5</f>
        <v>0700341031200001</v>
      </c>
      <c r="D292" s="6" t="s">
        <v>95</v>
      </c>
      <c r="E292" s="7">
        <f t="shared" ref="E292:E293" si="801">F292+G292</f>
        <v>340000</v>
      </c>
      <c r="F292" s="7">
        <v>0</v>
      </c>
      <c r="G292" s="8">
        <f>[41]รายการสรุป!$J$5</f>
        <v>340000</v>
      </c>
      <c r="H292" s="7">
        <f t="shared" ref="H292:H296" si="802">J292+K292</f>
        <v>159969.70000000001</v>
      </c>
      <c r="I292" s="7">
        <f t="shared" ref="I292" si="803">H292*100/E292</f>
        <v>47.04991176470589</v>
      </c>
      <c r="J292" s="7">
        <v>0</v>
      </c>
      <c r="K292" s="7">
        <f>16814.7+4410+5535+16870+116340</f>
        <v>159969.70000000001</v>
      </c>
      <c r="L292" s="7">
        <f t="shared" ref="L292" si="804">N292+O292</f>
        <v>0</v>
      </c>
      <c r="M292" s="7">
        <f t="shared" ref="M292" si="805">L292*100/E292</f>
        <v>0</v>
      </c>
      <c r="N292" s="7">
        <v>0</v>
      </c>
      <c r="O292" s="7">
        <v>0</v>
      </c>
      <c r="P292" s="7">
        <f t="shared" ref="P292" si="806">R292+S292</f>
        <v>180030.3</v>
      </c>
      <c r="Q292" s="7">
        <f t="shared" ref="Q292" si="807">P292*100/E292</f>
        <v>52.950088235294118</v>
      </c>
      <c r="R292" s="7">
        <f t="shared" ref="R292" si="808">F292-J292-N292</f>
        <v>0</v>
      </c>
      <c r="S292" s="7">
        <f t="shared" ref="S292" si="809">G292-K292-O292</f>
        <v>180030.3</v>
      </c>
    </row>
    <row r="293" spans="1:20" ht="35.25" customHeight="1" x14ac:dyDescent="0.5">
      <c r="A293" s="15"/>
      <c r="B293" s="78" t="s">
        <v>106</v>
      </c>
      <c r="C293" s="79"/>
      <c r="D293" s="79"/>
      <c r="E293" s="80">
        <f t="shared" si="801"/>
        <v>2031000</v>
      </c>
      <c r="F293" s="81">
        <f>SUM(F294:F296)</f>
        <v>0</v>
      </c>
      <c r="G293" s="80">
        <f>SUM(G294:G296)</f>
        <v>2031000</v>
      </c>
      <c r="H293" s="81">
        <f>J293+K293</f>
        <v>0</v>
      </c>
      <c r="I293" s="78">
        <f>H293*100/E293</f>
        <v>0</v>
      </c>
      <c r="J293" s="81">
        <f>SUM(J294:J296)</f>
        <v>0</v>
      </c>
      <c r="K293" s="81">
        <f>SUM(K294:K296)</f>
        <v>0</v>
      </c>
      <c r="L293" s="81">
        <f>N293+O293</f>
        <v>0</v>
      </c>
      <c r="M293" s="78">
        <f>L293*100/E293</f>
        <v>0</v>
      </c>
      <c r="N293" s="81">
        <f>N294</f>
        <v>0</v>
      </c>
      <c r="O293" s="81">
        <f>SUM(O294:O295)</f>
        <v>0</v>
      </c>
      <c r="P293" s="81">
        <f>R293+S293</f>
        <v>2031000</v>
      </c>
      <c r="Q293" s="80">
        <f>P293*100/E293</f>
        <v>100</v>
      </c>
      <c r="R293" s="81">
        <f>F293-J293-N293</f>
        <v>0</v>
      </c>
      <c r="S293" s="81">
        <f>G293-K293-O293</f>
        <v>2031000</v>
      </c>
    </row>
    <row r="294" spans="1:20" ht="33.75" customHeight="1" x14ac:dyDescent="0.5">
      <c r="A294" s="15">
        <v>254</v>
      </c>
      <c r="B294" s="53" t="str">
        <f>[42]รายการสรุป!$E$5</f>
        <v>โครงการอ่างเก็บน้ำห้วยต้อง อ.แม่พริก จ.ลำปาง</v>
      </c>
      <c r="C294" s="24" t="str">
        <f>[42]รายการสรุป!$I$5</f>
        <v>909090101463</v>
      </c>
      <c r="D294" s="6" t="s">
        <v>107</v>
      </c>
      <c r="E294" s="7">
        <f t="shared" ref="E294" si="810">F294+G294</f>
        <v>879700</v>
      </c>
      <c r="F294" s="7">
        <v>0</v>
      </c>
      <c r="G294" s="8">
        <f>[42]รายการสรุป!$J$5</f>
        <v>879700</v>
      </c>
      <c r="H294" s="7">
        <f t="shared" si="802"/>
        <v>0</v>
      </c>
      <c r="I294" s="7">
        <f t="shared" ref="I294" si="811">H294*100/E294</f>
        <v>0</v>
      </c>
      <c r="J294" s="7">
        <v>0</v>
      </c>
      <c r="K294" s="7">
        <v>0</v>
      </c>
      <c r="L294" s="7">
        <f t="shared" ref="L294" si="812">N294+O294</f>
        <v>0</v>
      </c>
      <c r="M294" s="7">
        <f t="shared" ref="M294" si="813">L294*100/E294</f>
        <v>0</v>
      </c>
      <c r="N294" s="7">
        <v>0</v>
      </c>
      <c r="O294" s="7">
        <v>0</v>
      </c>
      <c r="P294" s="7">
        <f t="shared" ref="P294" si="814">R294+S294</f>
        <v>879700</v>
      </c>
      <c r="Q294" s="7">
        <f t="shared" ref="Q294" si="815">P294*100/E294</f>
        <v>100</v>
      </c>
      <c r="R294" s="7">
        <f t="shared" ref="R294" si="816">F294-J294-N294</f>
        <v>0</v>
      </c>
      <c r="S294" s="7">
        <f t="shared" ref="S294" si="817">G294-K294-O294</f>
        <v>879700</v>
      </c>
    </row>
    <row r="295" spans="1:20" ht="33.75" customHeight="1" x14ac:dyDescent="0.5">
      <c r="A295" s="15">
        <v>255</v>
      </c>
      <c r="B295" s="53" t="str">
        <f>[42]รายการสรุป!$E$6</f>
        <v>โครงการอ่างเก็บน้ำกห้วยน้ำม้า อ.เชียงของ จ.เชียงราย</v>
      </c>
      <c r="C295" s="24" t="str">
        <f>[42]รายการสรุป!$I$6</f>
        <v>909090101462</v>
      </c>
      <c r="D295" s="6" t="s">
        <v>107</v>
      </c>
      <c r="E295" s="7">
        <f t="shared" ref="E295:E296" si="818">F295+G295</f>
        <v>944300</v>
      </c>
      <c r="F295" s="7">
        <v>0</v>
      </c>
      <c r="G295" s="8">
        <f>[42]รายการสรุป!$J$6</f>
        <v>944300</v>
      </c>
      <c r="H295" s="7">
        <f t="shared" si="802"/>
        <v>0</v>
      </c>
      <c r="I295" s="7">
        <f t="shared" ref="I295:I296" si="819">H295*100/E295</f>
        <v>0</v>
      </c>
      <c r="J295" s="7">
        <v>0</v>
      </c>
      <c r="K295" s="7">
        <v>0</v>
      </c>
      <c r="L295" s="7">
        <f t="shared" ref="L295:L296" si="820">N295+O295</f>
        <v>0</v>
      </c>
      <c r="M295" s="7">
        <f t="shared" ref="M295:M296" si="821">L295*100/E295</f>
        <v>0</v>
      </c>
      <c r="N295" s="7">
        <v>0</v>
      </c>
      <c r="O295" s="7">
        <v>0</v>
      </c>
      <c r="P295" s="7">
        <f t="shared" ref="P295:P296" si="822">R295+S295</f>
        <v>944300</v>
      </c>
      <c r="Q295" s="7">
        <f t="shared" ref="Q295:Q296" si="823">P295*100/E295</f>
        <v>100</v>
      </c>
      <c r="R295" s="7">
        <f t="shared" ref="R295:R296" si="824">F295-J295-N295</f>
        <v>0</v>
      </c>
      <c r="S295" s="7">
        <f t="shared" ref="S295:S296" si="825">G295-K295-O295</f>
        <v>944300</v>
      </c>
    </row>
    <row r="296" spans="1:20" ht="33.75" customHeight="1" x14ac:dyDescent="0.5">
      <c r="A296" s="15">
        <v>256</v>
      </c>
      <c r="B296" s="53" t="str">
        <f>[42]รายการสรุป!$E$7</f>
        <v>โครงการปรับปรุงระบบส่งน้ำฝั่งซ้ายฝายถ่อนพร้อมระบบส่งน้ำอันเนื่องมาจากพระราชดำริ อ.ท่าวังผา จ.น่าน</v>
      </c>
      <c r="C296" s="24" t="str">
        <f>[42]รายการสรุป!$I$7</f>
        <v>909090101465</v>
      </c>
      <c r="D296" s="6" t="s">
        <v>107</v>
      </c>
      <c r="E296" s="7">
        <f t="shared" si="818"/>
        <v>207000</v>
      </c>
      <c r="F296" s="7">
        <v>0</v>
      </c>
      <c r="G296" s="8">
        <f>[42]รายการสรุป!$J$7</f>
        <v>207000</v>
      </c>
      <c r="H296" s="7">
        <f t="shared" si="802"/>
        <v>0</v>
      </c>
      <c r="I296" s="7">
        <f t="shared" si="819"/>
        <v>0</v>
      </c>
      <c r="J296" s="7">
        <v>0</v>
      </c>
      <c r="K296" s="7">
        <v>0</v>
      </c>
      <c r="L296" s="7">
        <f t="shared" si="820"/>
        <v>0</v>
      </c>
      <c r="M296" s="7">
        <f t="shared" si="821"/>
        <v>0</v>
      </c>
      <c r="N296" s="7">
        <v>0</v>
      </c>
      <c r="O296" s="7">
        <v>0</v>
      </c>
      <c r="P296" s="7">
        <f t="shared" si="822"/>
        <v>207000</v>
      </c>
      <c r="Q296" s="7">
        <f t="shared" si="823"/>
        <v>100</v>
      </c>
      <c r="R296" s="7">
        <f t="shared" si="824"/>
        <v>0</v>
      </c>
      <c r="S296" s="7">
        <f t="shared" si="825"/>
        <v>207000</v>
      </c>
    </row>
    <row r="297" spans="1:20" ht="27.75" customHeight="1" x14ac:dyDescent="0.5">
      <c r="A297" s="20"/>
      <c r="B297" s="65"/>
      <c r="C297" s="65"/>
      <c r="D297" s="66"/>
      <c r="E297" s="20"/>
      <c r="F297" s="65"/>
      <c r="G297" s="65"/>
      <c r="H297" s="10"/>
      <c r="I297" s="20"/>
      <c r="J297" s="65"/>
      <c r="K297" s="65"/>
      <c r="L297" s="10"/>
      <c r="M297" s="20"/>
      <c r="N297" s="65"/>
      <c r="O297" s="65"/>
      <c r="P297" s="10"/>
      <c r="Q297" s="20"/>
      <c r="R297" s="65"/>
      <c r="S297" s="65"/>
    </row>
    <row r="299" spans="1:20" x14ac:dyDescent="0.5">
      <c r="Q299" s="82" t="s">
        <v>11</v>
      </c>
      <c r="R299" s="82"/>
      <c r="S299" s="82"/>
    </row>
    <row r="300" spans="1:20" x14ac:dyDescent="0.5">
      <c r="Q300" s="82" t="s">
        <v>12</v>
      </c>
      <c r="R300" s="82"/>
      <c r="S300" s="82"/>
    </row>
    <row r="301" spans="1:20" x14ac:dyDescent="0.5">
      <c r="Q301" s="82" t="s">
        <v>13</v>
      </c>
      <c r="R301" s="82"/>
      <c r="S301" s="82"/>
    </row>
    <row r="302" spans="1:20" x14ac:dyDescent="0.5">
      <c r="Q302" s="82" t="s">
        <v>14</v>
      </c>
      <c r="R302" s="82"/>
      <c r="S302" s="82"/>
    </row>
  </sheetData>
  <mergeCells count="11">
    <mergeCell ref="Q299:S299"/>
    <mergeCell ref="Q300:S300"/>
    <mergeCell ref="Q301:S301"/>
    <mergeCell ref="Q302:S30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4"/>
  <sheetViews>
    <sheetView zoomScale="115" zoomScaleNormal="115" workbookViewId="0">
      <pane ySplit="3" topLeftCell="A4" activePane="bottomLeft" state="frozen"/>
      <selection activeCell="O29" sqref="O29"/>
      <selection pane="bottomLeft" activeCell="C6" sqref="C6"/>
    </sheetView>
  </sheetViews>
  <sheetFormatPr defaultColWidth="9" defaultRowHeight="23.25" x14ac:dyDescent="0.5"/>
  <cols>
    <col min="1" max="1" width="5.125" style="1" customWidth="1"/>
    <col min="2" max="2" width="60.875" style="1" customWidth="1"/>
    <col min="3" max="3" width="16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83" t="s">
        <v>109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 x14ac:dyDescent="0.5">
      <c r="A2" s="84" t="s">
        <v>0</v>
      </c>
      <c r="B2" s="85"/>
      <c r="C2" s="27" t="s">
        <v>17</v>
      </c>
      <c r="D2" s="93" t="s">
        <v>1</v>
      </c>
      <c r="E2" s="90" t="s">
        <v>2</v>
      </c>
      <c r="F2" s="91"/>
      <c r="G2" s="92"/>
      <c r="H2" s="90" t="s">
        <v>7</v>
      </c>
      <c r="I2" s="91"/>
      <c r="J2" s="91"/>
      <c r="K2" s="92"/>
      <c r="L2" s="90" t="s">
        <v>8</v>
      </c>
      <c r="M2" s="91"/>
      <c r="N2" s="91"/>
      <c r="O2" s="92"/>
      <c r="P2" s="90" t="s">
        <v>9</v>
      </c>
      <c r="Q2" s="91"/>
      <c r="R2" s="91"/>
      <c r="S2" s="92"/>
    </row>
    <row r="3" spans="1:20" ht="26.25" customHeight="1" x14ac:dyDescent="0.5">
      <c r="A3" s="86"/>
      <c r="B3" s="87"/>
      <c r="C3" s="28" t="s">
        <v>18</v>
      </c>
      <c r="D3" s="94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15</v>
      </c>
      <c r="C4" s="4"/>
      <c r="D4" s="4"/>
      <c r="E4" s="5">
        <f>F4+G4</f>
        <v>8013956.5</v>
      </c>
      <c r="F4" s="5">
        <f>F17</f>
        <v>2821956.5</v>
      </c>
      <c r="G4" s="5">
        <f>G5+G8</f>
        <v>5192000</v>
      </c>
      <c r="H4" s="5">
        <f t="shared" ref="H4" si="0">J4+K4</f>
        <v>8010116.4999999991</v>
      </c>
      <c r="I4" s="5">
        <f>H4*100/E4</f>
        <v>99.952083593166478</v>
      </c>
      <c r="J4" s="5">
        <f>J17</f>
        <v>2821956.5</v>
      </c>
      <c r="K4" s="5">
        <f>K5+K8</f>
        <v>5188159.9999999991</v>
      </c>
      <c r="L4" s="5">
        <f>N4+O4</f>
        <v>0</v>
      </c>
      <c r="M4" s="5">
        <f>L4*100/E4</f>
        <v>0</v>
      </c>
      <c r="N4" s="5">
        <f>N5</f>
        <v>0</v>
      </c>
      <c r="O4" s="5">
        <f>O5+O8</f>
        <v>0</v>
      </c>
      <c r="P4" s="5">
        <f>E4-H4-L4</f>
        <v>3840.0000000009313</v>
      </c>
      <c r="Q4" s="5">
        <f>P4*100/E4</f>
        <v>4.7916406833515147E-2</v>
      </c>
      <c r="R4" s="5">
        <f t="shared" ref="R4:S5" si="1">F4-J4-N4</f>
        <v>0</v>
      </c>
      <c r="S4" s="5">
        <f>G4-K4-O4</f>
        <v>3840.0000000009313</v>
      </c>
      <c r="T4" s="26">
        <f>I4+Q4</f>
        <v>99.999999999999986</v>
      </c>
    </row>
    <row r="5" spans="1:20" ht="30" customHeight="1" x14ac:dyDescent="0.55000000000000004">
      <c r="A5" s="11"/>
      <c r="B5" s="18" t="s">
        <v>16</v>
      </c>
      <c r="C5" s="18"/>
      <c r="D5" s="11"/>
      <c r="E5" s="12">
        <f>F5+G5</f>
        <v>532000</v>
      </c>
      <c r="F5" s="12">
        <f t="shared" ref="F5" si="2">F6</f>
        <v>0</v>
      </c>
      <c r="G5" s="12">
        <f>G6</f>
        <v>532000</v>
      </c>
      <c r="H5" s="12">
        <f>J5+K5</f>
        <v>531987.35</v>
      </c>
      <c r="I5" s="35">
        <f>H5*100/E5</f>
        <v>99.997622180451131</v>
      </c>
      <c r="J5" s="12">
        <f>J7</f>
        <v>0</v>
      </c>
      <c r="K5" s="12">
        <f>K6</f>
        <v>531987.35</v>
      </c>
      <c r="L5" s="12">
        <f>N5+O5</f>
        <v>0</v>
      </c>
      <c r="M5" s="12">
        <f>L5*100/E5</f>
        <v>0</v>
      </c>
      <c r="N5" s="12">
        <f>N6</f>
        <v>0</v>
      </c>
      <c r="O5" s="12">
        <f>O6</f>
        <v>0</v>
      </c>
      <c r="P5" s="12">
        <f>E5-H5-L5</f>
        <v>12.650000000023283</v>
      </c>
      <c r="Q5" s="12">
        <f>P5*100/E5</f>
        <v>2.3778195488765568E-3</v>
      </c>
      <c r="R5" s="12">
        <f t="shared" si="1"/>
        <v>0</v>
      </c>
      <c r="S5" s="12">
        <f t="shared" si="1"/>
        <v>12.650000000023283</v>
      </c>
    </row>
    <row r="6" spans="1:20" ht="31.5" customHeight="1" x14ac:dyDescent="0.5">
      <c r="A6" s="21"/>
      <c r="B6" s="19" t="s">
        <v>21</v>
      </c>
      <c r="C6" s="19"/>
      <c r="D6" s="13"/>
      <c r="E6" s="14">
        <f t="shared" ref="E6" si="3">F6+G6</f>
        <v>532000</v>
      </c>
      <c r="F6" s="14">
        <f>SUM(F7)</f>
        <v>0</v>
      </c>
      <c r="G6" s="14">
        <f>SUM(G7)</f>
        <v>532000</v>
      </c>
      <c r="H6" s="14"/>
      <c r="I6" s="14">
        <f t="shared" ref="I6:I7" si="4">H6*100/E6</f>
        <v>0</v>
      </c>
      <c r="J6" s="14">
        <f>SUM(J7)</f>
        <v>0</v>
      </c>
      <c r="K6" s="14">
        <f>SUM(K7)</f>
        <v>531987.35</v>
      </c>
      <c r="L6" s="14">
        <f t="shared" ref="L6:L7" si="5">N6+O6</f>
        <v>0</v>
      </c>
      <c r="M6" s="14">
        <f t="shared" ref="M6:M7" si="6">L6*100/E6</f>
        <v>0</v>
      </c>
      <c r="N6" s="14">
        <f>SUM(N7)</f>
        <v>0</v>
      </c>
      <c r="O6" s="14">
        <f>SUM(O7)</f>
        <v>0</v>
      </c>
      <c r="P6" s="14">
        <f t="shared" ref="P6:P7" si="7">R6+S6</f>
        <v>12.650000000023283</v>
      </c>
      <c r="Q6" s="14">
        <f t="shared" ref="Q6:Q7" si="8">P6*100/E6</f>
        <v>2.3778195488765568E-3</v>
      </c>
      <c r="R6" s="14">
        <f>F6-J6-N6</f>
        <v>0</v>
      </c>
      <c r="S6" s="14">
        <f>G6-K6-O6</f>
        <v>12.650000000023283</v>
      </c>
    </row>
    <row r="7" spans="1:20" ht="39" customHeight="1" x14ac:dyDescent="0.5">
      <c r="A7" s="21">
        <v>1</v>
      </c>
      <c r="B7" s="17" t="str">
        <f>[43]รายการสรุป!$E$8</f>
        <v>โครงการอ่างเก็บน้ำห้วยทราย จ.พะเยา</v>
      </c>
      <c r="C7" s="24" t="str">
        <f>[43]รายการสรุป!$I$8</f>
        <v>9090940010NC</v>
      </c>
      <c r="D7" s="24" t="s">
        <v>22</v>
      </c>
      <c r="E7" s="7">
        <f>F7+G7</f>
        <v>532000</v>
      </c>
      <c r="F7" s="7">
        <v>0</v>
      </c>
      <c r="G7" s="8">
        <f>[44]รายการสรุป!$J$5</f>
        <v>532000</v>
      </c>
      <c r="H7" s="7">
        <f t="shared" ref="H7:H8" si="9">J7+K7</f>
        <v>531987.35</v>
      </c>
      <c r="I7" s="7">
        <f t="shared" si="4"/>
        <v>99.997622180451131</v>
      </c>
      <c r="J7" s="7">
        <v>0</v>
      </c>
      <c r="K7" s="7">
        <f>20819.7+221101.3+20822.7+6940.9+3453.6+5004.5+4603.6+41645.4+5004.5+3469.95+5353.6+3453.6+5114+11180+17600+37600+21116+4160+23115+1040+50165+5612+9212+4400</f>
        <v>531987.35</v>
      </c>
      <c r="L7" s="7">
        <f t="shared" si="5"/>
        <v>0</v>
      </c>
      <c r="M7" s="7">
        <f t="shared" si="6"/>
        <v>0</v>
      </c>
      <c r="N7" s="7">
        <v>0</v>
      </c>
      <c r="O7" s="7">
        <v>0</v>
      </c>
      <c r="P7" s="7">
        <f t="shared" si="7"/>
        <v>12.650000000023283</v>
      </c>
      <c r="Q7" s="7">
        <f t="shared" si="8"/>
        <v>2.3778195488765568E-3</v>
      </c>
      <c r="R7" s="7">
        <f t="shared" ref="R7:R8" si="10">F7-J7-N7</f>
        <v>0</v>
      </c>
      <c r="S7" s="7">
        <f t="shared" ref="S7:S8" si="11">G7-K7-O7</f>
        <v>12.650000000023283</v>
      </c>
    </row>
    <row r="8" spans="1:20" s="36" customFormat="1" ht="33" customHeight="1" x14ac:dyDescent="0.45">
      <c r="A8" s="33"/>
      <c r="B8" s="34" t="s">
        <v>27</v>
      </c>
      <c r="C8" s="34"/>
      <c r="D8" s="33"/>
      <c r="E8" s="35">
        <f>F8+G8</f>
        <v>4660000</v>
      </c>
      <c r="F8" s="35"/>
      <c r="G8" s="35">
        <f>SUM(G10:G16)</f>
        <v>4660000</v>
      </c>
      <c r="H8" s="35">
        <f t="shared" si="9"/>
        <v>4656172.6499999994</v>
      </c>
      <c r="I8" s="35">
        <f>H8*100/E8</f>
        <v>99.917868025751062</v>
      </c>
      <c r="J8" s="35">
        <v>0</v>
      </c>
      <c r="K8" s="35">
        <f>SUM(K10:K16)</f>
        <v>4656172.6499999994</v>
      </c>
      <c r="L8" s="35">
        <f>N8+O8</f>
        <v>0</v>
      </c>
      <c r="M8" s="35">
        <f>L8*100/E8</f>
        <v>0</v>
      </c>
      <c r="N8" s="35">
        <f>N9+N12</f>
        <v>0</v>
      </c>
      <c r="O8" s="35">
        <f>O9+O12+O14</f>
        <v>0</v>
      </c>
      <c r="P8" s="35">
        <f>E8-H8-L8</f>
        <v>3827.3500000005588</v>
      </c>
      <c r="Q8" s="35">
        <f>P8*100/E8</f>
        <v>8.2131974248939033E-2</v>
      </c>
      <c r="R8" s="35">
        <f t="shared" si="10"/>
        <v>0</v>
      </c>
      <c r="S8" s="35">
        <f t="shared" si="11"/>
        <v>3827.3500000005588</v>
      </c>
    </row>
    <row r="9" spans="1:20" ht="39" customHeight="1" x14ac:dyDescent="0.5">
      <c r="A9" s="21"/>
      <c r="B9" s="37" t="s">
        <v>19</v>
      </c>
      <c r="C9" s="24"/>
      <c r="D9" s="24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0" ht="48" customHeight="1" x14ac:dyDescent="0.5">
      <c r="A10" s="21">
        <v>2</v>
      </c>
      <c r="B10" s="17" t="str">
        <f>[45]รายการสรุป!$E$5</f>
        <v>ซ่อมแซมระบบประปาบริเวณส่วนเครื่องจักรกล(ปลายเหมือง)สำนักงานชลประทานที่ 2</v>
      </c>
      <c r="C10" s="24" t="str">
        <f>[45]รายการสรุป!$I$5</f>
        <v>90909730160100พส</v>
      </c>
      <c r="D10" s="24" t="s">
        <v>26</v>
      </c>
      <c r="E10" s="7">
        <f>F10+G10</f>
        <v>940000</v>
      </c>
      <c r="F10" s="7">
        <v>0</v>
      </c>
      <c r="G10" s="7">
        <f>[45]รายการสรุป!$J$5</f>
        <v>940000</v>
      </c>
      <c r="H10" s="7">
        <f t="shared" ref="H10" si="12">J10+K10</f>
        <v>939255.6</v>
      </c>
      <c r="I10" s="7">
        <f t="shared" ref="I10" si="13">H10*100/E10</f>
        <v>99.920808510638295</v>
      </c>
      <c r="J10" s="7">
        <v>0</v>
      </c>
      <c r="K10" s="7">
        <f>25866.9+41645.4+76349.9+41645.4+11760+50950+29988+57300+495629+86042+8639+13440</f>
        <v>939255.6</v>
      </c>
      <c r="L10" s="7">
        <f t="shared" ref="L10" si="14">N10+O10</f>
        <v>0</v>
      </c>
      <c r="M10" s="7">
        <f t="shared" ref="M10" si="15">L10*100/E10</f>
        <v>0</v>
      </c>
      <c r="N10" s="7">
        <v>0</v>
      </c>
      <c r="O10" s="7">
        <v>0</v>
      </c>
      <c r="P10" s="7">
        <f t="shared" ref="P10" si="16">R10+S10</f>
        <v>744.40000000002328</v>
      </c>
      <c r="Q10" s="7">
        <f t="shared" ref="Q10" si="17">P10*100/E10</f>
        <v>7.9191489361704601E-2</v>
      </c>
      <c r="R10" s="7">
        <f t="shared" ref="R10" si="18">F10-J10-N10</f>
        <v>0</v>
      </c>
      <c r="S10" s="7">
        <f t="shared" ref="S10" si="19">G10-K10-O10</f>
        <v>744.40000000002328</v>
      </c>
    </row>
    <row r="11" spans="1:20" ht="44.25" customHeight="1" x14ac:dyDescent="0.5">
      <c r="A11" s="21">
        <v>3</v>
      </c>
      <c r="B11" s="17" t="str">
        <f>[45]รายการสรุป!$E$6</f>
        <v>ซ่อมแซมระบบไฟฟ้าแสงสว่างรอบบริเวณและบ้านพักบริเวณเครื่องจักรกล จ.ลำปาง</v>
      </c>
      <c r="C11" s="54" t="str">
        <f>[45]รายการสรุป!$I$6</f>
        <v>90909730160100พห</v>
      </c>
      <c r="D11" s="24" t="s">
        <v>26</v>
      </c>
      <c r="E11" s="7">
        <f t="shared" ref="E11:E14" si="20">F11+G11</f>
        <v>950000</v>
      </c>
      <c r="F11" s="7">
        <v>0</v>
      </c>
      <c r="G11" s="7">
        <f>[45]รายการสรุป!$J$6</f>
        <v>950000</v>
      </c>
      <c r="H11" s="7">
        <f t="shared" ref="H11:H14" si="21">J11+K11</f>
        <v>948173.05</v>
      </c>
      <c r="I11" s="7">
        <f t="shared" ref="I11:I14" si="22">H11*100/E11</f>
        <v>99.807689473684206</v>
      </c>
      <c r="J11" s="7">
        <v>0</v>
      </c>
      <c r="K11" s="7">
        <f>19412.75+49402+271540+28475.3+60978+104825.2+42819.8+326060+27860+16800</f>
        <v>948173.05</v>
      </c>
      <c r="L11" s="7">
        <f t="shared" ref="L11:L14" si="23">N11+O11</f>
        <v>0</v>
      </c>
      <c r="M11" s="7">
        <f t="shared" ref="M11:M14" si="24">L11*100/E11</f>
        <v>0</v>
      </c>
      <c r="N11" s="7">
        <v>0</v>
      </c>
      <c r="O11" s="7">
        <v>0</v>
      </c>
      <c r="P11" s="7">
        <f t="shared" ref="P11:P14" si="25">R11+S11</f>
        <v>1826.9499999999534</v>
      </c>
      <c r="Q11" s="7">
        <f t="shared" ref="Q11:Q14" si="26">P11*100/E11</f>
        <v>0.19231052631578457</v>
      </c>
      <c r="R11" s="7">
        <f t="shared" ref="R11:R14" si="27">F11-J11-N11</f>
        <v>0</v>
      </c>
      <c r="S11" s="7">
        <f t="shared" ref="S11:S14" si="28">G11-K11-O11</f>
        <v>1826.9499999999534</v>
      </c>
    </row>
    <row r="12" spans="1:20" ht="48" customHeight="1" x14ac:dyDescent="0.5">
      <c r="A12" s="21">
        <v>4</v>
      </c>
      <c r="B12" s="17" t="str">
        <f>[45]รายการสรุป!$E$7</f>
        <v>ซ่อมแซมและต่อเติมโรงจอดรถทั่วไป 2 บริเวณสำนักงานฯ สำนักงานชลประทานที่ 2</v>
      </c>
      <c r="C12" s="24" t="str">
        <f>[45]รายการสรุป!$I$7</f>
        <v>90909730160100ฟA</v>
      </c>
      <c r="D12" s="24" t="s">
        <v>26</v>
      </c>
      <c r="E12" s="7">
        <f t="shared" si="20"/>
        <v>600000</v>
      </c>
      <c r="F12" s="7">
        <v>0</v>
      </c>
      <c r="G12" s="7">
        <f>[45]รายการสรุป!$J$7</f>
        <v>600000</v>
      </c>
      <c r="H12" s="7">
        <f t="shared" si="21"/>
        <v>599403.79999999993</v>
      </c>
      <c r="I12" s="7">
        <f t="shared" si="22"/>
        <v>99.900633333333317</v>
      </c>
      <c r="J12" s="7">
        <v>0</v>
      </c>
      <c r="K12" s="7">
        <f>45424.8+132300+11640+28626+6300+45594+146018+62468.1+58564.8+62468.1</f>
        <v>599403.79999999993</v>
      </c>
      <c r="L12" s="7">
        <f t="shared" si="23"/>
        <v>0</v>
      </c>
      <c r="M12" s="7">
        <f t="shared" si="24"/>
        <v>0</v>
      </c>
      <c r="N12" s="7">
        <v>0</v>
      </c>
      <c r="O12" s="7">
        <v>0</v>
      </c>
      <c r="P12" s="7">
        <f t="shared" si="25"/>
        <v>596.20000000006985</v>
      </c>
      <c r="Q12" s="7">
        <f t="shared" si="26"/>
        <v>9.9366666666678302E-2</v>
      </c>
      <c r="R12" s="7">
        <f t="shared" si="27"/>
        <v>0</v>
      </c>
      <c r="S12" s="7">
        <f t="shared" si="28"/>
        <v>596.20000000006985</v>
      </c>
    </row>
    <row r="13" spans="1:20" ht="46.5" customHeight="1" x14ac:dyDescent="0.5">
      <c r="A13" s="21">
        <v>5</v>
      </c>
      <c r="B13" s="17" t="str">
        <f>[45]รายการสรุป!$E$8</f>
        <v>ซ่อมแซมและต่อเติมโรงจอดรถผู้บริหาร 2 บริเวณสำนักงานฯ สำนักงานชลประทานที่ 2</v>
      </c>
      <c r="C13" s="54" t="str">
        <f>[45]รายการสรุป!$I$8</f>
        <v>90909730160100ฟB</v>
      </c>
      <c r="D13" s="24" t="s">
        <v>26</v>
      </c>
      <c r="E13" s="7">
        <f t="shared" si="20"/>
        <v>450000</v>
      </c>
      <c r="F13" s="7">
        <v>0</v>
      </c>
      <c r="G13" s="7">
        <f>[45]รายการสรุป!$J$8</f>
        <v>450000</v>
      </c>
      <c r="H13" s="7">
        <f t="shared" si="21"/>
        <v>449764.4</v>
      </c>
      <c r="I13" s="7">
        <f t="shared" si="22"/>
        <v>99.94764444444445</v>
      </c>
      <c r="J13" s="7">
        <v>0</v>
      </c>
      <c r="K13" s="7">
        <f>10094.4+90600+29610+5250+13560+65100+143236+13881.8+12214.4+21340+13881.8+30996</f>
        <v>449764.4</v>
      </c>
      <c r="L13" s="7">
        <f t="shared" si="23"/>
        <v>0</v>
      </c>
      <c r="M13" s="7">
        <f t="shared" si="24"/>
        <v>0</v>
      </c>
      <c r="N13" s="7">
        <v>0</v>
      </c>
      <c r="O13" s="7">
        <v>0</v>
      </c>
      <c r="P13" s="7">
        <f t="shared" si="25"/>
        <v>235.59999999997672</v>
      </c>
      <c r="Q13" s="7">
        <f t="shared" si="26"/>
        <v>5.2355555555550382E-2</v>
      </c>
      <c r="R13" s="7">
        <f t="shared" si="27"/>
        <v>0</v>
      </c>
      <c r="S13" s="7">
        <f t="shared" si="28"/>
        <v>235.59999999997672</v>
      </c>
    </row>
    <row r="14" spans="1:20" ht="35.25" customHeight="1" x14ac:dyDescent="0.5">
      <c r="A14" s="21">
        <v>6</v>
      </c>
      <c r="B14" s="17" t="str">
        <f>[45]รายการสรุป!$E$9</f>
        <v>ซ่อมแซมสีตัวอาคารที่ทำการสำนักงานฯ สำนักงานชลประทานที่ 2</v>
      </c>
      <c r="C14" s="24" t="str">
        <f>[45]รายการสรุป!$I$9</f>
        <v>90909730160100ฟC</v>
      </c>
      <c r="D14" s="24" t="s">
        <v>26</v>
      </c>
      <c r="E14" s="7">
        <f t="shared" si="20"/>
        <v>420000</v>
      </c>
      <c r="F14" s="7">
        <v>0</v>
      </c>
      <c r="G14" s="7">
        <f>[45]รายการสรุป!$J$9</f>
        <v>420000</v>
      </c>
      <c r="H14" s="7">
        <f t="shared" si="21"/>
        <v>419961.00000000006</v>
      </c>
      <c r="I14" s="7">
        <f t="shared" si="22"/>
        <v>99.990714285714304</v>
      </c>
      <c r="J14" s="7">
        <v>0</v>
      </c>
      <c r="K14" s="7">
        <f>40896.2+37134+209135+56238.9+16413.5+56238.9+3904.5</f>
        <v>419961.00000000006</v>
      </c>
      <c r="L14" s="7">
        <f t="shared" si="23"/>
        <v>0</v>
      </c>
      <c r="M14" s="7">
        <f t="shared" si="24"/>
        <v>0</v>
      </c>
      <c r="N14" s="7">
        <v>0</v>
      </c>
      <c r="O14" s="7">
        <v>0</v>
      </c>
      <c r="P14" s="7">
        <f t="shared" si="25"/>
        <v>38.999999999941792</v>
      </c>
      <c r="Q14" s="7">
        <f t="shared" si="26"/>
        <v>9.2857142857004273E-3</v>
      </c>
      <c r="R14" s="7">
        <f t="shared" si="27"/>
        <v>0</v>
      </c>
      <c r="S14" s="7">
        <f t="shared" si="28"/>
        <v>38.999999999941792</v>
      </c>
    </row>
    <row r="15" spans="1:20" ht="36.75" customHeight="1" x14ac:dyDescent="0.5">
      <c r="A15" s="21">
        <v>7</v>
      </c>
      <c r="B15" s="17" t="str">
        <f>[45]รายการสรุป!$E$10</f>
        <v>ซ่อมแซมคลังเก็บเอกสารและอุปกรณ์ สำนักงานชลประทานที่ 2</v>
      </c>
      <c r="C15" s="24" t="str">
        <f>[45]รายการสรุป!$I$10</f>
        <v>90909730160100ฟD</v>
      </c>
      <c r="D15" s="24" t="s">
        <v>26</v>
      </c>
      <c r="E15" s="7">
        <f t="shared" ref="E15:E16" si="29">F15+G15</f>
        <v>850000</v>
      </c>
      <c r="F15" s="7">
        <v>0</v>
      </c>
      <c r="G15" s="7">
        <f>[45]รายการสรุป!$J$10</f>
        <v>850000</v>
      </c>
      <c r="H15" s="7">
        <f t="shared" ref="H15:H16" si="30">J15+K15</f>
        <v>849886.6</v>
      </c>
      <c r="I15" s="7">
        <f t="shared" ref="I15:I16" si="31">H15*100/E15</f>
        <v>99.98665882352941</v>
      </c>
      <c r="J15" s="7">
        <v>0</v>
      </c>
      <c r="K15" s="7">
        <f>159600+70660.8+49500+79263+66894+85814+36504+29830+97172.6+74275.6+3200+97172.6</f>
        <v>849886.6</v>
      </c>
      <c r="L15" s="7">
        <f t="shared" ref="L15:L16" si="32">N15+O15</f>
        <v>0</v>
      </c>
      <c r="M15" s="7">
        <f t="shared" ref="M15:M16" si="33">L15*100/E15</f>
        <v>0</v>
      </c>
      <c r="N15" s="7">
        <v>0</v>
      </c>
      <c r="O15" s="7">
        <v>0</v>
      </c>
      <c r="P15" s="7">
        <f t="shared" ref="P15:P16" si="34">R15+S15</f>
        <v>113.40000000002328</v>
      </c>
      <c r="Q15" s="7">
        <f t="shared" ref="Q15:Q16" si="35">P15*100/E15</f>
        <v>1.3341176470590974E-2</v>
      </c>
      <c r="R15" s="7">
        <f t="shared" ref="R15:R16" si="36">F15-J15-N15</f>
        <v>0</v>
      </c>
      <c r="S15" s="7">
        <f t="shared" ref="S15:S16" si="37">G15-K15-O15</f>
        <v>113.40000000002328</v>
      </c>
    </row>
    <row r="16" spans="1:20" ht="33.75" customHeight="1" x14ac:dyDescent="0.5">
      <c r="A16" s="21">
        <v>8</v>
      </c>
      <c r="B16" s="17" t="str">
        <f>[45]รายการสรุป!$E$11</f>
        <v>ซ่อมแซมพื้นทางเท้าและโรงจอดรถจักรยานยนต์ สำนักงานชลประทานที่ 2</v>
      </c>
      <c r="C16" s="24" t="str">
        <f>[45]รายการสรุป!$I$11</f>
        <v>90909730160100ฟE</v>
      </c>
      <c r="D16" s="24" t="s">
        <v>26</v>
      </c>
      <c r="E16" s="7">
        <f t="shared" si="29"/>
        <v>450000</v>
      </c>
      <c r="F16" s="7">
        <v>0</v>
      </c>
      <c r="G16" s="7">
        <f>[45]รายการสรุป!$J$11</f>
        <v>450000</v>
      </c>
      <c r="H16" s="7">
        <f t="shared" si="30"/>
        <v>449728.2</v>
      </c>
      <c r="I16" s="7">
        <f t="shared" si="31"/>
        <v>99.939599999999999</v>
      </c>
      <c r="J16" s="7">
        <v>0</v>
      </c>
      <c r="K16" s="7">
        <f>10094.4+149425+2625+76844+32688+70860+20822.7+10610.8+38879+3844+20822.7+12212.6</f>
        <v>449728.2</v>
      </c>
      <c r="L16" s="7">
        <f t="shared" si="32"/>
        <v>0</v>
      </c>
      <c r="M16" s="7">
        <f t="shared" si="33"/>
        <v>0</v>
      </c>
      <c r="N16" s="7">
        <v>0</v>
      </c>
      <c r="O16" s="7">
        <v>0</v>
      </c>
      <c r="P16" s="7">
        <f t="shared" si="34"/>
        <v>271.79999999998836</v>
      </c>
      <c r="Q16" s="7">
        <f t="shared" si="35"/>
        <v>6.0399999999997414E-2</v>
      </c>
      <c r="R16" s="7">
        <f t="shared" si="36"/>
        <v>0</v>
      </c>
      <c r="S16" s="7">
        <f t="shared" si="37"/>
        <v>271.79999999998836</v>
      </c>
    </row>
    <row r="17" spans="1:19" ht="48.75" customHeight="1" x14ac:dyDescent="0.5">
      <c r="A17" s="21"/>
      <c r="B17" s="17" t="str">
        <f>[46]รายการสรุป!$E$5</f>
        <v>ปรับปรุงพัฒนาอุปกรณ์และระบบตรวจวัดพฤติกรรมเขื่อนแม่สรวย(ระยะที่ 2) จ.เชียงราย</v>
      </c>
      <c r="C17" s="54" t="str">
        <f>[46]รายการสรุป!$I$5</f>
        <v>0700322001420280</v>
      </c>
      <c r="D17" s="54" t="s">
        <v>35</v>
      </c>
      <c r="E17" s="7">
        <f t="shared" ref="E17" si="38">F17+G17</f>
        <v>2821956.5</v>
      </c>
      <c r="F17" s="7">
        <v>2821956.5</v>
      </c>
      <c r="G17" s="7">
        <v>0</v>
      </c>
      <c r="H17" s="7">
        <f t="shared" ref="H17" si="39">J17+K17</f>
        <v>2821956.5</v>
      </c>
      <c r="I17" s="7">
        <f t="shared" ref="I17" si="40">H17*100/E17</f>
        <v>100</v>
      </c>
      <c r="J17" s="7">
        <f>2364500+457456.5</f>
        <v>2821956.5</v>
      </c>
      <c r="K17" s="7">
        <v>0</v>
      </c>
      <c r="L17" s="7">
        <f t="shared" ref="L17" si="41">N17+O17</f>
        <v>0</v>
      </c>
      <c r="M17" s="7">
        <f t="shared" ref="M17" si="42">L17*100/E17</f>
        <v>0</v>
      </c>
      <c r="N17" s="7">
        <v>0</v>
      </c>
      <c r="O17" s="7">
        <v>0</v>
      </c>
      <c r="P17" s="7">
        <f t="shared" ref="P17" si="43">R17+S17</f>
        <v>0</v>
      </c>
      <c r="Q17" s="7">
        <f t="shared" ref="Q17" si="44">P17*100/E17</f>
        <v>0</v>
      </c>
      <c r="R17" s="7">
        <f t="shared" ref="R17" si="45">F17-J17-N17</f>
        <v>0</v>
      </c>
      <c r="S17" s="7">
        <f t="shared" ref="S17" si="46">G17-K17-O17</f>
        <v>0</v>
      </c>
    </row>
    <row r="18" spans="1:19" ht="33.75" customHeight="1" x14ac:dyDescent="0.5">
      <c r="A18" s="21"/>
      <c r="B18" s="17"/>
      <c r="C18" s="24"/>
      <c r="D18" s="2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7.75" customHeight="1" x14ac:dyDescent="0.5">
      <c r="A19" s="16"/>
      <c r="B19" s="20"/>
      <c r="C19" s="20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1" spans="1:19" x14ac:dyDescent="0.5">
      <c r="Q21" s="82" t="s">
        <v>11</v>
      </c>
      <c r="R21" s="82"/>
      <c r="S21" s="82"/>
    </row>
    <row r="22" spans="1:19" x14ac:dyDescent="0.5">
      <c r="Q22" s="82" t="s">
        <v>12</v>
      </c>
      <c r="R22" s="82"/>
      <c r="S22" s="82"/>
    </row>
    <row r="23" spans="1:19" x14ac:dyDescent="0.5">
      <c r="Q23" s="82" t="s">
        <v>13</v>
      </c>
      <c r="R23" s="82"/>
      <c r="S23" s="82"/>
    </row>
    <row r="24" spans="1:19" x14ac:dyDescent="0.5">
      <c r="Q24" s="82" t="s">
        <v>14</v>
      </c>
      <c r="R24" s="82"/>
      <c r="S24" s="82"/>
    </row>
  </sheetData>
  <mergeCells count="11">
    <mergeCell ref="Q21:S21"/>
    <mergeCell ref="Q22:S22"/>
    <mergeCell ref="Q23:S23"/>
    <mergeCell ref="Q24:S2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4"/>
  <sheetViews>
    <sheetView zoomScale="115" zoomScaleNormal="115" workbookViewId="0">
      <pane ySplit="3" topLeftCell="A4" activePane="bottomLeft" state="frozen"/>
      <selection activeCell="O29" sqref="O29"/>
      <selection pane="bottomLeft" activeCell="C7" sqref="C7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0" ht="33" customHeight="1" x14ac:dyDescent="0.6">
      <c r="A1" s="83" t="s">
        <v>110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 x14ac:dyDescent="0.5">
      <c r="A2" s="84" t="s">
        <v>0</v>
      </c>
      <c r="B2" s="85"/>
      <c r="C2" s="74" t="s">
        <v>17</v>
      </c>
      <c r="D2" s="93" t="s">
        <v>1</v>
      </c>
      <c r="E2" s="90" t="s">
        <v>2</v>
      </c>
      <c r="F2" s="91"/>
      <c r="G2" s="92"/>
      <c r="H2" s="90" t="s">
        <v>7</v>
      </c>
      <c r="I2" s="91"/>
      <c r="J2" s="91"/>
      <c r="K2" s="92"/>
      <c r="L2" s="90" t="s">
        <v>8</v>
      </c>
      <c r="M2" s="91"/>
      <c r="N2" s="91"/>
      <c r="O2" s="92"/>
      <c r="P2" s="90" t="s">
        <v>9</v>
      </c>
      <c r="Q2" s="91"/>
      <c r="R2" s="91"/>
      <c r="S2" s="92"/>
    </row>
    <row r="3" spans="1:20" ht="26.25" customHeight="1" x14ac:dyDescent="0.5">
      <c r="A3" s="86"/>
      <c r="B3" s="87"/>
      <c r="C3" s="75" t="s">
        <v>18</v>
      </c>
      <c r="D3" s="94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76" t="s">
        <v>4</v>
      </c>
      <c r="S3" s="2" t="s">
        <v>5</v>
      </c>
    </row>
    <row r="4" spans="1:20" ht="30.75" customHeight="1" x14ac:dyDescent="0.5">
      <c r="A4" s="4"/>
      <c r="B4" s="46" t="s">
        <v>15</v>
      </c>
      <c r="C4" s="46"/>
      <c r="D4" s="46"/>
      <c r="E4" s="47">
        <f t="shared" ref="E4:E8" si="0">F4+G4</f>
        <v>1580000</v>
      </c>
      <c r="F4" s="47">
        <f>F5</f>
        <v>0</v>
      </c>
      <c r="G4" s="47">
        <f>G5</f>
        <v>1580000</v>
      </c>
      <c r="H4" s="47">
        <f t="shared" ref="H4" si="1">J4+K4</f>
        <v>0</v>
      </c>
      <c r="I4" s="47">
        <f>H4*100/E4</f>
        <v>0</v>
      </c>
      <c r="J4" s="47">
        <f>J5</f>
        <v>0</v>
      </c>
      <c r="K4" s="47">
        <f>K5</f>
        <v>0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1580000</v>
      </c>
      <c r="Q4" s="47">
        <f>P4*100/E4</f>
        <v>100</v>
      </c>
      <c r="R4" s="47">
        <f t="shared" ref="R4:S8" si="2">F4-J4-N4</f>
        <v>0</v>
      </c>
      <c r="S4" s="47">
        <f>G4-K4-O4</f>
        <v>1580000</v>
      </c>
      <c r="T4" s="26">
        <f>I4+M4+Q4</f>
        <v>100</v>
      </c>
    </row>
    <row r="5" spans="1:20" ht="33.75" customHeight="1" x14ac:dyDescent="0.55000000000000004">
      <c r="A5" s="21"/>
      <c r="B5" s="18" t="s">
        <v>16</v>
      </c>
      <c r="C5" s="18"/>
      <c r="D5" s="18"/>
      <c r="E5" s="12">
        <f t="shared" si="0"/>
        <v>1580000</v>
      </c>
      <c r="F5" s="12">
        <f>SUM(F6)</f>
        <v>0</v>
      </c>
      <c r="G5" s="12">
        <f>SUM(G6:G8)</f>
        <v>1580000</v>
      </c>
      <c r="H5" s="12">
        <f t="shared" ref="H5:H8" si="3">J5+K5</f>
        <v>0</v>
      </c>
      <c r="I5" s="12">
        <f>H5*100/E5</f>
        <v>0</v>
      </c>
      <c r="J5" s="12">
        <f>SUM(J6)</f>
        <v>0</v>
      </c>
      <c r="K5" s="12">
        <f>SUM(J6:J8)</f>
        <v>0</v>
      </c>
      <c r="L5" s="12">
        <f>N5+O5</f>
        <v>0</v>
      </c>
      <c r="M5" s="12">
        <f>L5*100/E5</f>
        <v>0</v>
      </c>
      <c r="N5" s="12">
        <f>SUM(N6:N8)</f>
        <v>0</v>
      </c>
      <c r="O5" s="12">
        <f>SUM(O6:O8)</f>
        <v>0</v>
      </c>
      <c r="P5" s="12">
        <f>E5-H5-L5</f>
        <v>1580000</v>
      </c>
      <c r="Q5" s="12">
        <f>P5*100/E5</f>
        <v>100</v>
      </c>
      <c r="R5" s="12">
        <f t="shared" si="2"/>
        <v>0</v>
      </c>
      <c r="S5" s="45">
        <f t="shared" si="2"/>
        <v>1580000</v>
      </c>
    </row>
    <row r="6" spans="1:20" ht="36.75" customHeight="1" x14ac:dyDescent="0.5">
      <c r="A6" s="21">
        <v>1</v>
      </c>
      <c r="B6" s="17" t="str">
        <f>[47]รายการสรุป!$E$5</f>
        <v>โครงการฝายทุ่งผึ้งพร้อมระบบส่งน้ำ อ.เทิง จ.เชียงราย</v>
      </c>
      <c r="C6" s="25">
        <f>[47]รายการสรุป!$I$5</f>
        <v>9090940010</v>
      </c>
      <c r="D6" s="24" t="s">
        <v>98</v>
      </c>
      <c r="E6" s="7">
        <f t="shared" si="0"/>
        <v>490000</v>
      </c>
      <c r="F6" s="7">
        <v>0</v>
      </c>
      <c r="G6" s="8">
        <f>[47]รายการสรุป!$J$5</f>
        <v>490000</v>
      </c>
      <c r="H6" s="7">
        <f t="shared" si="3"/>
        <v>0</v>
      </c>
      <c r="I6" s="7">
        <f t="shared" ref="I6" si="4">H6*100/E6</f>
        <v>0</v>
      </c>
      <c r="J6" s="7">
        <v>0</v>
      </c>
      <c r="K6" s="7">
        <v>0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490000</v>
      </c>
      <c r="Q6" s="7">
        <f t="shared" ref="Q6" si="8">P6*100/E6</f>
        <v>100</v>
      </c>
      <c r="R6" s="7">
        <f t="shared" si="2"/>
        <v>0</v>
      </c>
      <c r="S6" s="8">
        <f t="shared" si="2"/>
        <v>490000</v>
      </c>
    </row>
    <row r="7" spans="1:20" ht="33.75" customHeight="1" x14ac:dyDescent="0.5">
      <c r="A7" s="21">
        <v>2</v>
      </c>
      <c r="B7" s="17" t="str">
        <f>[47]รายการสรุป!$E$6</f>
        <v>โครงการอ่างเก็บน้ำห้วยก้างปลา อ.เวียงป่าเป้า จ.เชียงราย</v>
      </c>
      <c r="C7" s="25">
        <f>[47]รายการสรุป!$I$5</f>
        <v>9090940010</v>
      </c>
      <c r="D7" s="24" t="s">
        <v>98</v>
      </c>
      <c r="E7" s="7">
        <f t="shared" si="0"/>
        <v>810000</v>
      </c>
      <c r="F7" s="7">
        <v>0</v>
      </c>
      <c r="G7" s="8">
        <f>[47]รายการสรุป!$J$6</f>
        <v>810000</v>
      </c>
      <c r="H7" s="7">
        <f t="shared" si="3"/>
        <v>129400.7</v>
      </c>
      <c r="I7" s="7">
        <f t="shared" ref="I7:I8" si="9">H7*100/E7</f>
        <v>15.975395061728396</v>
      </c>
      <c r="J7" s="7">
        <v>0</v>
      </c>
      <c r="K7" s="7">
        <f>57429+7256.35+58795.35+5920</f>
        <v>129400.7</v>
      </c>
      <c r="L7" s="7">
        <f t="shared" ref="L7:L8" si="10">N7+O7</f>
        <v>0</v>
      </c>
      <c r="M7" s="7">
        <f t="shared" ref="M7:M8" si="11">L7*100/E7</f>
        <v>0</v>
      </c>
      <c r="N7" s="7">
        <v>0</v>
      </c>
      <c r="O7" s="7">
        <v>0</v>
      </c>
      <c r="P7" s="7">
        <f t="shared" ref="P7:P8" si="12">R7+S7</f>
        <v>680599.3</v>
      </c>
      <c r="Q7" s="7">
        <f t="shared" ref="Q7:Q8" si="13">P7*100/E7</f>
        <v>84.024604938271608</v>
      </c>
      <c r="R7" s="7">
        <f t="shared" si="2"/>
        <v>0</v>
      </c>
      <c r="S7" s="7">
        <f t="shared" si="2"/>
        <v>680599.3</v>
      </c>
    </row>
    <row r="8" spans="1:20" ht="51.75" customHeight="1" x14ac:dyDescent="0.5">
      <c r="A8" s="21">
        <v>3</v>
      </c>
      <c r="B8" s="17" t="str">
        <f>[47]รายการสรุป!$E$7</f>
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</c>
      <c r="C8" s="25">
        <f>[47]รายการสรุป!$I$5</f>
        <v>9090940010</v>
      </c>
      <c r="D8" s="21" t="s">
        <v>98</v>
      </c>
      <c r="E8" s="7">
        <f t="shared" si="0"/>
        <v>280000</v>
      </c>
      <c r="F8" s="7">
        <v>0</v>
      </c>
      <c r="G8" s="8">
        <f>[47]รายการสรุป!$J$7</f>
        <v>280000</v>
      </c>
      <c r="H8" s="7">
        <f t="shared" si="3"/>
        <v>36281.75</v>
      </c>
      <c r="I8" s="7">
        <f t="shared" si="9"/>
        <v>12.957767857142857</v>
      </c>
      <c r="J8" s="7">
        <v>0</v>
      </c>
      <c r="K8" s="7">
        <f>36281.75</f>
        <v>36281.75</v>
      </c>
      <c r="L8" s="7">
        <f t="shared" si="10"/>
        <v>0</v>
      </c>
      <c r="M8" s="7">
        <f t="shared" si="11"/>
        <v>0</v>
      </c>
      <c r="N8" s="7">
        <v>0</v>
      </c>
      <c r="O8" s="7">
        <v>0</v>
      </c>
      <c r="P8" s="7">
        <f t="shared" si="12"/>
        <v>243718.25</v>
      </c>
      <c r="Q8" s="7">
        <f t="shared" si="13"/>
        <v>87.042232142857145</v>
      </c>
      <c r="R8" s="7">
        <f t="shared" si="2"/>
        <v>0</v>
      </c>
      <c r="S8" s="7">
        <f t="shared" si="2"/>
        <v>243718.25</v>
      </c>
    </row>
    <row r="9" spans="1:20" ht="33.75" customHeight="1" x14ac:dyDescent="0.5">
      <c r="A9" s="41"/>
      <c r="B9" s="20"/>
      <c r="C9" s="42"/>
      <c r="D9" s="42"/>
      <c r="E9" s="10"/>
      <c r="F9" s="10"/>
      <c r="G9" s="4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1" spans="1:20" x14ac:dyDescent="0.5">
      <c r="Q11" s="82" t="s">
        <v>11</v>
      </c>
      <c r="R11" s="82"/>
      <c r="S11" s="82"/>
    </row>
    <row r="12" spans="1:20" x14ac:dyDescent="0.5">
      <c r="F12" s="38"/>
      <c r="G12" s="38"/>
      <c r="H12" s="38"/>
      <c r="I12" s="38"/>
      <c r="J12" s="39"/>
      <c r="K12" s="26"/>
      <c r="Q12" s="82" t="s">
        <v>12</v>
      </c>
      <c r="R12" s="82"/>
      <c r="S12" s="82"/>
    </row>
    <row r="13" spans="1:20" x14ac:dyDescent="0.5">
      <c r="Q13" s="82" t="s">
        <v>13</v>
      </c>
      <c r="R13" s="82"/>
      <c r="S13" s="82"/>
    </row>
    <row r="14" spans="1:20" x14ac:dyDescent="0.5">
      <c r="Q14" s="82" t="s">
        <v>14</v>
      </c>
      <c r="R14" s="82"/>
      <c r="S14" s="82"/>
    </row>
  </sheetData>
  <mergeCells count="11">
    <mergeCell ref="Q11:S11"/>
    <mergeCell ref="Q12:S12"/>
    <mergeCell ref="Q13:S13"/>
    <mergeCell ref="Q14:S1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2"/>
  <sheetViews>
    <sheetView zoomScale="115" zoomScaleNormal="115" workbookViewId="0">
      <pane ySplit="3" topLeftCell="A4" activePane="bottomLeft" state="frozen"/>
      <selection activeCell="O29" sqref="O29"/>
      <selection pane="bottomLeft" activeCell="C3" sqref="C3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83" t="s">
        <v>111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 x14ac:dyDescent="0.5">
      <c r="A2" s="84" t="s">
        <v>0</v>
      </c>
      <c r="B2" s="85"/>
      <c r="C2" s="29" t="s">
        <v>17</v>
      </c>
      <c r="D2" s="93" t="s">
        <v>1</v>
      </c>
      <c r="E2" s="90" t="s">
        <v>2</v>
      </c>
      <c r="F2" s="91"/>
      <c r="G2" s="92"/>
      <c r="H2" s="90" t="s">
        <v>7</v>
      </c>
      <c r="I2" s="91"/>
      <c r="J2" s="91"/>
      <c r="K2" s="92"/>
      <c r="L2" s="90" t="s">
        <v>8</v>
      </c>
      <c r="M2" s="91"/>
      <c r="N2" s="91"/>
      <c r="O2" s="92"/>
      <c r="P2" s="90" t="s">
        <v>9</v>
      </c>
      <c r="Q2" s="91"/>
      <c r="R2" s="91"/>
      <c r="S2" s="92"/>
    </row>
    <row r="3" spans="1:20" ht="26.25" customHeight="1" x14ac:dyDescent="0.5">
      <c r="A3" s="86"/>
      <c r="B3" s="87"/>
      <c r="C3" s="30" t="s">
        <v>18</v>
      </c>
      <c r="D3" s="94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40" t="s">
        <v>4</v>
      </c>
      <c r="S3" s="2" t="s">
        <v>5</v>
      </c>
    </row>
    <row r="4" spans="1:20" ht="30.75" customHeight="1" x14ac:dyDescent="0.5">
      <c r="A4" s="4"/>
      <c r="B4" s="46" t="s">
        <v>46</v>
      </c>
      <c r="C4" s="46"/>
      <c r="D4" s="46"/>
      <c r="E4" s="47">
        <f t="shared" ref="E4:E6" si="0">F4+G4</f>
        <v>25482000</v>
      </c>
      <c r="F4" s="47">
        <f>F5</f>
        <v>0</v>
      </c>
      <c r="G4" s="47">
        <f>G5</f>
        <v>25482000</v>
      </c>
      <c r="H4" s="47">
        <f t="shared" ref="H4:H5" si="1">J4+K4</f>
        <v>22592533.050000001</v>
      </c>
      <c r="I4" s="47">
        <f>H4*100/E4</f>
        <v>88.660752884388984</v>
      </c>
      <c r="J4" s="47">
        <f>J5</f>
        <v>0</v>
      </c>
      <c r="K4" s="47">
        <f>K5</f>
        <v>22592533.050000001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2889466.9499999993</v>
      </c>
      <c r="Q4" s="47">
        <f>P4*100/E4</f>
        <v>11.339247115611018</v>
      </c>
      <c r="R4" s="47">
        <f t="shared" ref="R4:S5" si="2">F4-J4-N4</f>
        <v>0</v>
      </c>
      <c r="S4" s="47">
        <f>G4-K4-O4</f>
        <v>2889466.9499999993</v>
      </c>
      <c r="T4" s="26">
        <f>I4+M4+Q4</f>
        <v>100</v>
      </c>
    </row>
    <row r="5" spans="1:20" ht="30" customHeight="1" x14ac:dyDescent="0.55000000000000004">
      <c r="A5" s="11"/>
      <c r="B5" s="18" t="s">
        <v>45</v>
      </c>
      <c r="C5" s="18"/>
      <c r="D5" s="11"/>
      <c r="E5" s="12">
        <f t="shared" si="0"/>
        <v>25482000</v>
      </c>
      <c r="F5" s="12">
        <f>F6</f>
        <v>0</v>
      </c>
      <c r="G5" s="12">
        <f>G6</f>
        <v>25482000</v>
      </c>
      <c r="H5" s="12">
        <f t="shared" si="1"/>
        <v>22592533.050000001</v>
      </c>
      <c r="I5" s="12">
        <f>H5*100/E5</f>
        <v>88.660752884388984</v>
      </c>
      <c r="J5" s="12">
        <f>SUM(J6)</f>
        <v>0</v>
      </c>
      <c r="K5" s="12">
        <f>SUM(K6)</f>
        <v>22592533.050000001</v>
      </c>
      <c r="L5" s="12">
        <f>N5+O5</f>
        <v>0</v>
      </c>
      <c r="M5" s="12">
        <f>L5*100/E5</f>
        <v>0</v>
      </c>
      <c r="N5" s="12">
        <f>SUM(N6)</f>
        <v>0</v>
      </c>
      <c r="O5" s="12">
        <f>SUM(O6)</f>
        <v>0</v>
      </c>
      <c r="P5" s="12">
        <f>E5-H5-L5</f>
        <v>2889466.9499999993</v>
      </c>
      <c r="Q5" s="12">
        <f>P5*100/E5</f>
        <v>11.339247115611018</v>
      </c>
      <c r="R5" s="12">
        <f t="shared" si="2"/>
        <v>0</v>
      </c>
      <c r="S5" s="12">
        <f t="shared" si="2"/>
        <v>2889466.9499999993</v>
      </c>
    </row>
    <row r="6" spans="1:20" ht="33.75" customHeight="1" x14ac:dyDescent="0.5">
      <c r="A6" s="21"/>
      <c r="B6" s="17" t="str">
        <f>[48]รายการสรุป!$E$5</f>
        <v>อ่างเก็บน้ำแม่อางพร้อมระบบส่งน้ำ อ.แม่ทะ จ.ลำปาง</v>
      </c>
      <c r="C6" s="25" t="str">
        <f>[48]รายการสรุป!$I$5</f>
        <v>0700341028420124</v>
      </c>
      <c r="D6" s="24" t="s">
        <v>23</v>
      </c>
      <c r="E6" s="7">
        <f t="shared" si="0"/>
        <v>25482000</v>
      </c>
      <c r="F6" s="7">
        <v>0</v>
      </c>
      <c r="G6" s="8">
        <f>[48]รายการสรุป!$J$5</f>
        <v>25482000</v>
      </c>
      <c r="H6" s="7">
        <f t="shared" ref="H6" si="3">J6+K6</f>
        <v>22592533.050000001</v>
      </c>
      <c r="I6" s="7">
        <f t="shared" ref="I6" si="4">H6*100/E6</f>
        <v>88.660752884388984</v>
      </c>
      <c r="J6" s="7">
        <v>0</v>
      </c>
      <c r="K6" s="7">
        <f>495105+186587.8+496960+489255+349765.6+169344+1234800+2740065.6+494029.45+258948.4+335687+481500+154800+492300+99420+162540+17484+494819.2+671667.2+3180+451668+161940+486900+486900+161940+248628+192000+73073.8+163140+163140+19798.55+22818.95+461853+566274.2+163140+163140+163140+163140+163140+1102352+98502+163140+163140+163140+163140+119908+521120+507080+248628+598687.15+781862.7+29000+39995+22800+498560+37223.1+41986+637208+790819.35+73170+127100+4979+209684.3+356305.7+515092.2+273877.8</f>
        <v>22592533.050000001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2889466.9499999993</v>
      </c>
      <c r="Q6" s="7">
        <f t="shared" ref="Q6" si="8">P6*100/E6</f>
        <v>11.339247115611018</v>
      </c>
      <c r="R6" s="7">
        <f t="shared" ref="R6" si="9">F6-J6-N6</f>
        <v>0</v>
      </c>
      <c r="S6" s="7">
        <f t="shared" ref="S6" si="10">G6-K6-O6</f>
        <v>2889466.9499999993</v>
      </c>
    </row>
    <row r="7" spans="1:20" ht="33.75" customHeight="1" x14ac:dyDescent="0.5">
      <c r="A7" s="41"/>
      <c r="B7" s="20"/>
      <c r="C7" s="42"/>
      <c r="D7" s="42"/>
      <c r="E7" s="10"/>
      <c r="F7" s="10"/>
      <c r="G7" s="4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9" spans="1:20" x14ac:dyDescent="0.5">
      <c r="Q9" s="82" t="s">
        <v>11</v>
      </c>
      <c r="R9" s="82"/>
      <c r="S9" s="82"/>
    </row>
    <row r="10" spans="1:20" x14ac:dyDescent="0.5">
      <c r="F10" s="38"/>
      <c r="G10" s="38"/>
      <c r="H10" s="38"/>
      <c r="I10" s="38"/>
      <c r="J10" s="39"/>
      <c r="Q10" s="82" t="s">
        <v>12</v>
      </c>
      <c r="R10" s="82"/>
      <c r="S10" s="82"/>
    </row>
    <row r="11" spans="1:20" x14ac:dyDescent="0.5">
      <c r="Q11" s="82" t="s">
        <v>13</v>
      </c>
      <c r="R11" s="82"/>
      <c r="S11" s="82"/>
    </row>
    <row r="12" spans="1:20" x14ac:dyDescent="0.5">
      <c r="Q12" s="82" t="s">
        <v>14</v>
      </c>
      <c r="R12" s="82"/>
      <c r="S12" s="82"/>
    </row>
  </sheetData>
  <mergeCells count="11">
    <mergeCell ref="Q9:S9"/>
    <mergeCell ref="Q10:S10"/>
    <mergeCell ref="Q11:S11"/>
    <mergeCell ref="Q12:S1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2"/>
  <sheetViews>
    <sheetView zoomScale="115" zoomScaleNormal="115" workbookViewId="0">
      <pane ySplit="3" topLeftCell="A4" activePane="bottomLeft" state="frozen"/>
      <selection activeCell="O29" sqref="O29"/>
      <selection pane="bottomLeft" activeCell="C5" sqref="C5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1" ht="33" customHeight="1" x14ac:dyDescent="0.6">
      <c r="A1" s="83" t="s">
        <v>109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1" x14ac:dyDescent="0.5">
      <c r="A2" s="84" t="s">
        <v>0</v>
      </c>
      <c r="B2" s="85"/>
      <c r="C2" s="58" t="s">
        <v>17</v>
      </c>
      <c r="D2" s="93" t="s">
        <v>1</v>
      </c>
      <c r="E2" s="90" t="s">
        <v>2</v>
      </c>
      <c r="F2" s="91"/>
      <c r="G2" s="92"/>
      <c r="H2" s="90" t="s">
        <v>7</v>
      </c>
      <c r="I2" s="91"/>
      <c r="J2" s="91"/>
      <c r="K2" s="92"/>
      <c r="L2" s="90" t="s">
        <v>8</v>
      </c>
      <c r="M2" s="91"/>
      <c r="N2" s="91"/>
      <c r="O2" s="92"/>
      <c r="P2" s="90" t="s">
        <v>9</v>
      </c>
      <c r="Q2" s="91"/>
      <c r="R2" s="91"/>
      <c r="S2" s="92"/>
    </row>
    <row r="3" spans="1:21" ht="26.25" customHeight="1" x14ac:dyDescent="0.5">
      <c r="A3" s="86"/>
      <c r="B3" s="87"/>
      <c r="C3" s="59" t="s">
        <v>18</v>
      </c>
      <c r="D3" s="94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60" t="s">
        <v>4</v>
      </c>
      <c r="S3" s="2" t="s">
        <v>5</v>
      </c>
    </row>
    <row r="4" spans="1:21" ht="30.75" customHeight="1" x14ac:dyDescent="0.5">
      <c r="A4" s="4"/>
      <c r="B4" s="46" t="s">
        <v>15</v>
      </c>
      <c r="C4" s="46"/>
      <c r="D4" s="46"/>
      <c r="E4" s="47">
        <f t="shared" ref="E4:E16" si="0">F4+G4</f>
        <v>38784807.899999999</v>
      </c>
      <c r="F4" s="47">
        <f>F6</f>
        <v>0</v>
      </c>
      <c r="G4" s="47">
        <f>G5+G11</f>
        <v>38784807.899999999</v>
      </c>
      <c r="H4" s="47">
        <f t="shared" ref="H4:H10" si="1">J4+K4</f>
        <v>38335534.200000003</v>
      </c>
      <c r="I4" s="47">
        <f>H4*100/E4</f>
        <v>98.84162453206325</v>
      </c>
      <c r="J4" s="47">
        <f>J6</f>
        <v>0</v>
      </c>
      <c r="K4" s="47">
        <f>K5+K11</f>
        <v>38335534.200000003</v>
      </c>
      <c r="L4" s="47">
        <f>N4+O4</f>
        <v>0</v>
      </c>
      <c r="M4" s="47">
        <f>L4*100/E4</f>
        <v>0</v>
      </c>
      <c r="N4" s="47">
        <f>N6</f>
        <v>0</v>
      </c>
      <c r="O4" s="47">
        <f>O5+O11</f>
        <v>0</v>
      </c>
      <c r="P4" s="47">
        <f>E4-H4-L4</f>
        <v>449273.69999999553</v>
      </c>
      <c r="Q4" s="47">
        <f>P4*100/E4</f>
        <v>1.1583754679367524</v>
      </c>
      <c r="R4" s="47">
        <f t="shared" ref="R4:S16" si="2">F4-J4-N4</f>
        <v>0</v>
      </c>
      <c r="S4" s="47">
        <f>G4-K4-O4</f>
        <v>449273.69999999553</v>
      </c>
      <c r="T4" s="26">
        <f>I4+M4+Q4</f>
        <v>100</v>
      </c>
    </row>
    <row r="5" spans="1:21" ht="30.75" customHeight="1" x14ac:dyDescent="0.5">
      <c r="A5" s="31"/>
      <c r="B5" s="31" t="s">
        <v>28</v>
      </c>
      <c r="C5" s="31"/>
      <c r="D5" s="31"/>
      <c r="E5" s="32">
        <f t="shared" si="0"/>
        <v>33058220.620000001</v>
      </c>
      <c r="F5" s="32">
        <f>F6+F8</f>
        <v>0</v>
      </c>
      <c r="G5" s="32">
        <f>G6+G8</f>
        <v>33058220.620000001</v>
      </c>
      <c r="H5" s="32">
        <f>J5+K5</f>
        <v>32628638.920000002</v>
      </c>
      <c r="I5" s="32"/>
      <c r="J5" s="32">
        <f>J6+J8</f>
        <v>0</v>
      </c>
      <c r="K5" s="32">
        <f>K6+K8</f>
        <v>32628638.920000002</v>
      </c>
      <c r="L5" s="32">
        <f>N5+O5</f>
        <v>0</v>
      </c>
      <c r="M5" s="32"/>
      <c r="N5" s="32">
        <f>N6+N8</f>
        <v>0</v>
      </c>
      <c r="O5" s="32">
        <f>O6+O8</f>
        <v>0</v>
      </c>
      <c r="P5" s="32">
        <f>E5-H5-L5</f>
        <v>429581.69999999925</v>
      </c>
      <c r="Q5" s="32">
        <f>P5*100/E5</f>
        <v>1.2994701225392187</v>
      </c>
      <c r="R5" s="32">
        <f t="shared" si="2"/>
        <v>0</v>
      </c>
      <c r="S5" s="32">
        <f>G5-K5-O5</f>
        <v>429581.69999999925</v>
      </c>
      <c r="T5" s="26"/>
    </row>
    <row r="6" spans="1:21" ht="30" customHeight="1" x14ac:dyDescent="0.55000000000000004">
      <c r="A6" s="11"/>
      <c r="B6" s="18" t="s">
        <v>16</v>
      </c>
      <c r="C6" s="18"/>
      <c r="D6" s="11"/>
      <c r="E6" s="12">
        <f t="shared" si="0"/>
        <v>14663213</v>
      </c>
      <c r="F6" s="12">
        <f>SUM(F7)</f>
        <v>0</v>
      </c>
      <c r="G6" s="12">
        <f>SUM(G7)</f>
        <v>14663213</v>
      </c>
      <c r="H6" s="12">
        <f t="shared" si="1"/>
        <v>14658391.160000002</v>
      </c>
      <c r="I6" s="12">
        <f>H6*100/E6</f>
        <v>99.967116074764803</v>
      </c>
      <c r="J6" s="12">
        <f>SUM(J7)</f>
        <v>0</v>
      </c>
      <c r="K6" s="12">
        <f>SUM(K7)</f>
        <v>14658391.160000002</v>
      </c>
      <c r="L6" s="12">
        <f>N6+O6</f>
        <v>0</v>
      </c>
      <c r="M6" s="12">
        <f>L6*100/E6</f>
        <v>0</v>
      </c>
      <c r="N6" s="12">
        <f>SUM(N7)</f>
        <v>0</v>
      </c>
      <c r="O6" s="12">
        <f>SUM(O7)</f>
        <v>0</v>
      </c>
      <c r="P6" s="12">
        <f>E6-H6-L6</f>
        <v>4821.8399999979883</v>
      </c>
      <c r="Q6" s="12">
        <f>P6*100/E6</f>
        <v>3.2883925235199056E-2</v>
      </c>
      <c r="R6" s="12">
        <f t="shared" si="2"/>
        <v>0</v>
      </c>
      <c r="S6" s="12">
        <f t="shared" si="2"/>
        <v>4821.8399999979883</v>
      </c>
    </row>
    <row r="7" spans="1:21" ht="30.75" customHeight="1" x14ac:dyDescent="0.5">
      <c r="A7" s="21">
        <v>1</v>
      </c>
      <c r="B7" s="17" t="str">
        <f>[49]รายการสรุป!$E$5</f>
        <v>โครงการอ่างเก็บน้ำห้วยเดื่อพร้อมระบบส่งน้ำฝั่งซ้าย อ.เมือง จ.ลำปาง</v>
      </c>
      <c r="C7" s="24" t="str">
        <f>[49]รายการสรุป!$I$5</f>
        <v>9090940010MC</v>
      </c>
      <c r="D7" s="24" t="s">
        <v>20</v>
      </c>
      <c r="E7" s="7">
        <f t="shared" si="0"/>
        <v>14663213</v>
      </c>
      <c r="F7" s="7">
        <v>0</v>
      </c>
      <c r="G7" s="8">
        <f>[50]รายการสรุป!$J$5</f>
        <v>14663213</v>
      </c>
      <c r="H7" s="7">
        <f t="shared" si="1"/>
        <v>14658391.160000002</v>
      </c>
      <c r="I7" s="7">
        <f t="shared" ref="I7" si="3">H7*100/E7</f>
        <v>99.967116074764803</v>
      </c>
      <c r="J7" s="7">
        <v>0</v>
      </c>
      <c r="K7" s="7">
        <f>78945+6264+4606.35+238510.8+257924.75+99071.2+60258.5+4665.2+4643.8+5096.95+264688+183600+457020+80949+99920+223110+223110+97738+96030+7500+221310+32000+221310+2319329.15+43960+415046.8+16880+221310+78940+451620+39776+20151+221310+451620+451620+96716+99185+95000+451620+770714.71+1050989.55+1425470.75+462420+458640+206667.65+296539.55+155400+243941.5+149040+64056+99980+15150+299295+468217+15820+8000+12300+480+12913.95</f>
        <v>14658391.160000002</v>
      </c>
      <c r="L7" s="7">
        <f t="shared" ref="L7" si="4">N7+O7</f>
        <v>0</v>
      </c>
      <c r="M7" s="7">
        <f t="shared" ref="M7" si="5">L7*100/E7</f>
        <v>0</v>
      </c>
      <c r="N7" s="7">
        <v>0</v>
      </c>
      <c r="O7" s="7">
        <v>0</v>
      </c>
      <c r="P7" s="7">
        <f t="shared" ref="P7" si="6">R7+S7</f>
        <v>4821.8399999979883</v>
      </c>
      <c r="Q7" s="7">
        <f t="shared" ref="Q7" si="7">P7*100/E7</f>
        <v>3.2883925235199056E-2</v>
      </c>
      <c r="R7" s="7">
        <f t="shared" si="2"/>
        <v>0</v>
      </c>
      <c r="S7" s="7">
        <f t="shared" si="2"/>
        <v>4821.8399999979883</v>
      </c>
      <c r="U7" s="1" t="s">
        <v>96</v>
      </c>
    </row>
    <row r="8" spans="1:21" ht="46.5" customHeight="1" x14ac:dyDescent="0.55000000000000004">
      <c r="A8" s="11"/>
      <c r="B8" s="23" t="s">
        <v>24</v>
      </c>
      <c r="C8" s="18"/>
      <c r="D8" s="11"/>
      <c r="E8" s="12">
        <f t="shared" si="0"/>
        <v>18395007.620000001</v>
      </c>
      <c r="F8" s="12">
        <f>SUM(F9:F9)</f>
        <v>0</v>
      </c>
      <c r="G8" s="12">
        <f>SUM(G9:G10)</f>
        <v>18395007.620000001</v>
      </c>
      <c r="H8" s="12">
        <f t="shared" si="1"/>
        <v>17970247.760000002</v>
      </c>
      <c r="I8" s="12">
        <f>H8*100/E8</f>
        <v>97.690895982352416</v>
      </c>
      <c r="J8" s="12">
        <f>SUM(J9:J10)</f>
        <v>0</v>
      </c>
      <c r="K8" s="12">
        <f>SUM(K9:K10)</f>
        <v>17970247.760000002</v>
      </c>
      <c r="L8" s="12">
        <f>N8+O8</f>
        <v>0</v>
      </c>
      <c r="M8" s="12">
        <f>L8*100/E8</f>
        <v>0</v>
      </c>
      <c r="N8" s="12">
        <f>SUM(N9:N10)</f>
        <v>0</v>
      </c>
      <c r="O8" s="12">
        <f>SUM(O9:O10)</f>
        <v>0</v>
      </c>
      <c r="P8" s="12">
        <f>E8-H8-L8</f>
        <v>424759.8599999994</v>
      </c>
      <c r="Q8" s="12">
        <f>P8*100/E8</f>
        <v>2.3091040176475848</v>
      </c>
      <c r="R8" s="12">
        <f t="shared" si="2"/>
        <v>0</v>
      </c>
      <c r="S8" s="12">
        <f t="shared" si="2"/>
        <v>424759.8599999994</v>
      </c>
    </row>
    <row r="9" spans="1:21" ht="30.75" customHeight="1" x14ac:dyDescent="0.5">
      <c r="A9" s="21">
        <v>2</v>
      </c>
      <c r="B9" s="17" t="str">
        <f>[49]รายการสรุป!$E$6</f>
        <v>ฝายห้วยอ้อน้ำพร้อมระบบส่งน้ำ ต.บ้านค่า อ.เมือง จ.ลำปาง</v>
      </c>
      <c r="C9" s="24" t="str">
        <f>[49]รายการสรุป!$I$6</f>
        <v>9090916040120037</v>
      </c>
      <c r="D9" s="24" t="s">
        <v>23</v>
      </c>
      <c r="E9" s="7">
        <f t="shared" si="0"/>
        <v>7702721.8899999997</v>
      </c>
      <c r="F9" s="7">
        <v>0</v>
      </c>
      <c r="G9" s="8">
        <f>[50]รายการสรุป!$J$6</f>
        <v>7702721.8899999997</v>
      </c>
      <c r="H9" s="7">
        <f t="shared" si="1"/>
        <v>7550764.2100000009</v>
      </c>
      <c r="I9" s="7">
        <f t="shared" ref="I9:I11" si="8">H9*100/E9</f>
        <v>98.027220998368435</v>
      </c>
      <c r="J9" s="7">
        <v>0</v>
      </c>
      <c r="K9" s="7">
        <f>3470+225360+185800.05+174345.8+39133+76620+25340+24597+15600+1101767.23+50470+50976.2+600479.7+4975+471695+246330+246330+249872.4+98921+244610.6+44837+45100+114020+394221+507339.2+14198.9+1234.78+312295.5+329372.35+48000+484480+31200+3456+7226+312141+56700+73500+353966.9+280782.6</f>
        <v>7550764.2100000009</v>
      </c>
      <c r="L9" s="7">
        <f t="shared" ref="L9:L10" si="9">N9+O9</f>
        <v>0</v>
      </c>
      <c r="M9" s="7">
        <f t="shared" ref="M9:M10" si="10">L9*100/E9</f>
        <v>0</v>
      </c>
      <c r="N9" s="7">
        <v>0</v>
      </c>
      <c r="O9" s="7">
        <v>0</v>
      </c>
      <c r="P9" s="8">
        <f t="shared" ref="P9:P10" si="11">R9+S9</f>
        <v>151957.67999999877</v>
      </c>
      <c r="Q9" s="7">
        <f t="shared" ref="Q9:Q10" si="12">P9*100/E9</f>
        <v>1.9727790016315749</v>
      </c>
      <c r="R9" s="7">
        <f t="shared" si="2"/>
        <v>0</v>
      </c>
      <c r="S9" s="8">
        <f t="shared" si="2"/>
        <v>151957.67999999877</v>
      </c>
    </row>
    <row r="10" spans="1:21" ht="33.75" customHeight="1" x14ac:dyDescent="0.5">
      <c r="A10" s="21">
        <v>3</v>
      </c>
      <c r="B10" s="17" t="str">
        <f>[49]รายการสรุป!$E$7</f>
        <v>ฝายแม่ยาวหัวแต ต.เกาะคา อ.เกาะคา จ.ลำปาง</v>
      </c>
      <c r="C10" s="25" t="str">
        <f>[49]รายการสรุป!$I$7</f>
        <v>9090916040120238</v>
      </c>
      <c r="D10" s="25" t="s">
        <v>25</v>
      </c>
      <c r="E10" s="7">
        <f t="shared" si="0"/>
        <v>10692285.73</v>
      </c>
      <c r="F10" s="7">
        <v>0</v>
      </c>
      <c r="G10" s="8">
        <f>[50]รายการสรุป!$J$7</f>
        <v>10692285.73</v>
      </c>
      <c r="H10" s="7">
        <f t="shared" si="1"/>
        <v>10419483.550000001</v>
      </c>
      <c r="I10" s="7">
        <f t="shared" si="8"/>
        <v>97.448607464402286</v>
      </c>
      <c r="J10" s="7">
        <v>0</v>
      </c>
      <c r="K10" s="7">
        <f>2832+450720+6856+59935.5+144461.35+179748.05+442611+131768+29201+50600+438430+25200+108627.9+74220+416252.75+3360+89292+5231+493245+100750+319993.1+282083.6+131877.1+102753.9+73410+4860+100750+1673.48+98361+84780+73305+419370+471668.4+131877.1+9250+89179+28917+3950+289615+435185+20964+5082.5+64875+100750+256810+20178+387074.25+467042.65+369000+34204.5+13089+99925+60008.5+50000+15682+5033.92+100750+38800+1178400+443381.9+282232.1</f>
        <v>10419483.550000001</v>
      </c>
      <c r="L10" s="7">
        <f t="shared" si="9"/>
        <v>0</v>
      </c>
      <c r="M10" s="7">
        <f t="shared" si="10"/>
        <v>0</v>
      </c>
      <c r="N10" s="7">
        <v>0</v>
      </c>
      <c r="O10" s="7">
        <v>0</v>
      </c>
      <c r="P10" s="7">
        <f t="shared" si="11"/>
        <v>272802.1799999997</v>
      </c>
      <c r="Q10" s="7">
        <f t="shared" si="12"/>
        <v>2.5513925355977154</v>
      </c>
      <c r="R10" s="7">
        <f t="shared" si="2"/>
        <v>0</v>
      </c>
      <c r="S10" s="8">
        <f t="shared" si="2"/>
        <v>272802.1799999997</v>
      </c>
    </row>
    <row r="11" spans="1:21" ht="33.75" customHeight="1" x14ac:dyDescent="0.5">
      <c r="A11" s="21"/>
      <c r="B11" s="31" t="s">
        <v>29</v>
      </c>
      <c r="C11" s="31"/>
      <c r="D11" s="31"/>
      <c r="E11" s="32">
        <f t="shared" si="0"/>
        <v>5726587.2800000003</v>
      </c>
      <c r="F11" s="32">
        <f>F12+F14</f>
        <v>0</v>
      </c>
      <c r="G11" s="32">
        <f>G12+G14</f>
        <v>5726587.2800000003</v>
      </c>
      <c r="H11" s="32">
        <f>J11+K11</f>
        <v>5706895.2800000003</v>
      </c>
      <c r="I11" s="32">
        <f t="shared" si="8"/>
        <v>99.656130273805928</v>
      </c>
      <c r="J11" s="32">
        <f>J12+J14</f>
        <v>0</v>
      </c>
      <c r="K11" s="32">
        <f>K12+K14</f>
        <v>5706895.2800000003</v>
      </c>
      <c r="L11" s="32">
        <f>N11+O11</f>
        <v>0</v>
      </c>
      <c r="M11" s="32">
        <f t="shared" ref="M11" si="13">L11*100/I11</f>
        <v>0</v>
      </c>
      <c r="N11" s="32">
        <f>N12+N14</f>
        <v>0</v>
      </c>
      <c r="O11" s="32">
        <f>O12+O14</f>
        <v>0</v>
      </c>
      <c r="P11" s="32">
        <f>E11-H11-L11</f>
        <v>19692</v>
      </c>
      <c r="Q11" s="32">
        <f>P11*100/E11</f>
        <v>0.34386972619406231</v>
      </c>
      <c r="R11" s="32">
        <f t="shared" si="2"/>
        <v>0</v>
      </c>
      <c r="S11" s="44">
        <f>G11-K11-O11</f>
        <v>19692</v>
      </c>
    </row>
    <row r="12" spans="1:21" ht="33.75" customHeight="1" x14ac:dyDescent="0.55000000000000004">
      <c r="A12" s="21"/>
      <c r="B12" s="18" t="s">
        <v>16</v>
      </c>
      <c r="C12" s="18"/>
      <c r="D12" s="18"/>
      <c r="E12" s="12">
        <f t="shared" si="0"/>
        <v>934545</v>
      </c>
      <c r="F12" s="12">
        <f>SUM(F13)</f>
        <v>0</v>
      </c>
      <c r="G12" s="12">
        <f>SUM(G13)</f>
        <v>934545</v>
      </c>
      <c r="H12" s="12">
        <f t="shared" ref="H12:H16" si="14">J12+K12</f>
        <v>914853</v>
      </c>
      <c r="I12" s="12">
        <f>H12*100/E12</f>
        <v>97.892878352567294</v>
      </c>
      <c r="J12" s="12">
        <f>SUM(J13)</f>
        <v>0</v>
      </c>
      <c r="K12" s="12">
        <f>SUM(K13)</f>
        <v>914853</v>
      </c>
      <c r="L12" s="12">
        <f>N12+O12</f>
        <v>0</v>
      </c>
      <c r="M12" s="12">
        <f>L12*100/E12</f>
        <v>0</v>
      </c>
      <c r="N12" s="12">
        <f>SUM(N13)</f>
        <v>0</v>
      </c>
      <c r="O12" s="12">
        <f>SUM(O13)</f>
        <v>0</v>
      </c>
      <c r="P12" s="12">
        <f>E12-H12-L12</f>
        <v>19692</v>
      </c>
      <c r="Q12" s="12">
        <f>P12*100/E12</f>
        <v>2.1071216474327077</v>
      </c>
      <c r="R12" s="12">
        <f t="shared" si="2"/>
        <v>0</v>
      </c>
      <c r="S12" s="45">
        <f t="shared" si="2"/>
        <v>19692</v>
      </c>
    </row>
    <row r="13" spans="1:21" ht="36.75" customHeight="1" x14ac:dyDescent="0.5">
      <c r="A13" s="21"/>
      <c r="B13" s="17" t="str">
        <f>[50]รายการสรุป!$E$5</f>
        <v>โครงการอ่างเก็บน้ำห้วยเดื่อพร้อมระบบส่งน้ำฝั่งซ้าย อ.เมือง จ.ลำปาง</v>
      </c>
      <c r="C13" s="25" t="str">
        <f>[50]รายการสรุป!$I$5</f>
        <v>9090940010MC</v>
      </c>
      <c r="D13" s="24" t="s">
        <v>20</v>
      </c>
      <c r="E13" s="7">
        <f t="shared" si="0"/>
        <v>934545</v>
      </c>
      <c r="F13" s="7">
        <v>0</v>
      </c>
      <c r="G13" s="8">
        <f>492753+441792</f>
        <v>934545</v>
      </c>
      <c r="H13" s="7">
        <f t="shared" si="14"/>
        <v>914853</v>
      </c>
      <c r="I13" s="7">
        <f t="shared" ref="I13" si="15">H13*100/E13</f>
        <v>97.892878352567294</v>
      </c>
      <c r="J13" s="7">
        <v>0</v>
      </c>
      <c r="K13" s="7">
        <f>154440+154440+492753+113220</f>
        <v>914853</v>
      </c>
      <c r="L13" s="7">
        <f t="shared" ref="L13" si="16">N13+O13</f>
        <v>0</v>
      </c>
      <c r="M13" s="7">
        <f t="shared" ref="M13" si="17">L13*100/E13</f>
        <v>0</v>
      </c>
      <c r="N13" s="7">
        <v>0</v>
      </c>
      <c r="O13" s="7">
        <v>0</v>
      </c>
      <c r="P13" s="7">
        <f t="shared" ref="P13" si="18">R13+S13</f>
        <v>19692</v>
      </c>
      <c r="Q13" s="7">
        <f t="shared" ref="Q13" si="19">P13*100/E13</f>
        <v>2.1071216474327077</v>
      </c>
      <c r="R13" s="7">
        <f t="shared" si="2"/>
        <v>0</v>
      </c>
      <c r="S13" s="8">
        <f t="shared" si="2"/>
        <v>19692</v>
      </c>
    </row>
    <row r="14" spans="1:21" ht="54" customHeight="1" x14ac:dyDescent="0.55000000000000004">
      <c r="A14" s="11"/>
      <c r="B14" s="23" t="s">
        <v>24</v>
      </c>
      <c r="C14" s="18"/>
      <c r="D14" s="11"/>
      <c r="E14" s="12">
        <f t="shared" si="0"/>
        <v>4792042.28</v>
      </c>
      <c r="F14" s="12">
        <f>SUM(F15:F15)</f>
        <v>0</v>
      </c>
      <c r="G14" s="12">
        <f>SUM(G15:G16)</f>
        <v>4792042.28</v>
      </c>
      <c r="H14" s="12">
        <f t="shared" si="14"/>
        <v>4792042.28</v>
      </c>
      <c r="I14" s="12">
        <f>H14*100/E14</f>
        <v>100</v>
      </c>
      <c r="J14" s="12">
        <f>SUM(J15:J16)</f>
        <v>0</v>
      </c>
      <c r="K14" s="12">
        <f>SUM(K15:K16)</f>
        <v>4792042.28</v>
      </c>
      <c r="L14" s="12">
        <f>N14+O14</f>
        <v>0</v>
      </c>
      <c r="M14" s="12">
        <f>L14*100/E14</f>
        <v>0</v>
      </c>
      <c r="N14" s="12">
        <f>SUM(N15:N16)</f>
        <v>0</v>
      </c>
      <c r="O14" s="12">
        <f>SUM(O15:O16)</f>
        <v>0</v>
      </c>
      <c r="P14" s="12">
        <f>E14-H14-L14</f>
        <v>0</v>
      </c>
      <c r="Q14" s="12">
        <f>P14*100/E14</f>
        <v>0</v>
      </c>
      <c r="R14" s="12">
        <f t="shared" si="2"/>
        <v>0</v>
      </c>
      <c r="S14" s="12">
        <f t="shared" si="2"/>
        <v>0</v>
      </c>
    </row>
    <row r="15" spans="1:21" ht="33.75" customHeight="1" x14ac:dyDescent="0.5">
      <c r="A15" s="21"/>
      <c r="B15" s="17" t="str">
        <f>[50]รายการสรุป!$E$6</f>
        <v>ฝายห้วยอ้อน้ำพร้อมระบบส่งน้ำ ต.บ้านค่า อ.เมือง จ.ลำปาง</v>
      </c>
      <c r="C15" s="25" t="str">
        <f>[50]รายการสรุป!$I$6</f>
        <v>9090916040120037</v>
      </c>
      <c r="D15" s="24" t="s">
        <v>23</v>
      </c>
      <c r="E15" s="7">
        <f t="shared" si="0"/>
        <v>1655952.71</v>
      </c>
      <c r="F15" s="7">
        <v>0</v>
      </c>
      <c r="G15" s="8">
        <f>240000+331559.71+770640+313753</f>
        <v>1655952.71</v>
      </c>
      <c r="H15" s="7">
        <f t="shared" si="14"/>
        <v>1655952.71</v>
      </c>
      <c r="I15" s="7">
        <f t="shared" ref="I15:I16" si="20">H15*100/E15</f>
        <v>100</v>
      </c>
      <c r="J15" s="7">
        <v>0</v>
      </c>
      <c r="K15" s="7">
        <f>155580+331559.71+240000+158173+256767+256767+257106</f>
        <v>1655952.71</v>
      </c>
      <c r="L15" s="7">
        <f t="shared" ref="L15:L16" si="21">N15+O15</f>
        <v>0</v>
      </c>
      <c r="M15" s="7">
        <f t="shared" ref="M15:M16" si="22">L15*100/E15</f>
        <v>0</v>
      </c>
      <c r="N15" s="7">
        <v>0</v>
      </c>
      <c r="O15" s="7">
        <v>0</v>
      </c>
      <c r="P15" s="7">
        <f t="shared" ref="P15:P16" si="23">R15+S15</f>
        <v>0</v>
      </c>
      <c r="Q15" s="7">
        <f t="shared" ref="Q15:Q16" si="24">P15*100/E15</f>
        <v>0</v>
      </c>
      <c r="R15" s="7">
        <f t="shared" si="2"/>
        <v>0</v>
      </c>
      <c r="S15" s="7">
        <f t="shared" si="2"/>
        <v>0</v>
      </c>
    </row>
    <row r="16" spans="1:21" ht="33.75" customHeight="1" x14ac:dyDescent="0.5">
      <c r="A16" s="21"/>
      <c r="B16" s="17" t="str">
        <f>[50]รายการสรุป!$E$7</f>
        <v>ฝายแม่ยาวหัวแต ต.เกาะคา อ.เกาะคา จ.ลำปาง</v>
      </c>
      <c r="C16" s="25" t="str">
        <f>[50]รายการสรุป!$I$7</f>
        <v>9090916040120238</v>
      </c>
      <c r="D16" s="25" t="s">
        <v>25</v>
      </c>
      <c r="E16" s="7">
        <f t="shared" si="0"/>
        <v>3136089.5700000003</v>
      </c>
      <c r="F16" s="7">
        <v>0</v>
      </c>
      <c r="G16" s="8">
        <f>379300+390184+1018834+656292.66+691478.91</f>
        <v>3136089.5700000003</v>
      </c>
      <c r="H16" s="7">
        <f t="shared" si="14"/>
        <v>3136089.5700000003</v>
      </c>
      <c r="I16" s="7">
        <f t="shared" si="20"/>
        <v>99.999999999999986</v>
      </c>
      <c r="J16" s="7">
        <v>0</v>
      </c>
      <c r="K16" s="7">
        <f>691478.91+656292.66+379300+100113+341650+341650+335534+100113+100113+89845</f>
        <v>3136089.5700000003</v>
      </c>
      <c r="L16" s="7">
        <f t="shared" si="21"/>
        <v>0</v>
      </c>
      <c r="M16" s="7">
        <f t="shared" si="22"/>
        <v>0</v>
      </c>
      <c r="N16" s="7">
        <v>0</v>
      </c>
      <c r="O16" s="7">
        <v>0</v>
      </c>
      <c r="P16" s="7">
        <f t="shared" si="23"/>
        <v>0</v>
      </c>
      <c r="Q16" s="7">
        <f t="shared" si="24"/>
        <v>0</v>
      </c>
      <c r="R16" s="7">
        <f t="shared" si="2"/>
        <v>0</v>
      </c>
      <c r="S16" s="7">
        <f t="shared" si="2"/>
        <v>0</v>
      </c>
    </row>
    <row r="17" spans="1:19" ht="33.75" customHeight="1" x14ac:dyDescent="0.5">
      <c r="A17" s="41"/>
      <c r="B17" s="20"/>
      <c r="C17" s="42"/>
      <c r="D17" s="42"/>
      <c r="E17" s="10"/>
      <c r="F17" s="10"/>
      <c r="G17" s="4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9" spans="1:19" x14ac:dyDescent="0.5">
      <c r="Q19" s="82" t="s">
        <v>11</v>
      </c>
      <c r="R19" s="82"/>
      <c r="S19" s="82"/>
    </row>
    <row r="20" spans="1:19" x14ac:dyDescent="0.5">
      <c r="F20" s="38"/>
      <c r="G20" s="38"/>
      <c r="H20" s="38"/>
      <c r="I20" s="38"/>
      <c r="J20" s="39"/>
      <c r="K20" s="26"/>
      <c r="Q20" s="82" t="s">
        <v>12</v>
      </c>
      <c r="R20" s="82"/>
      <c r="S20" s="82"/>
    </row>
    <row r="21" spans="1:19" x14ac:dyDescent="0.5">
      <c r="Q21" s="82" t="s">
        <v>13</v>
      </c>
      <c r="R21" s="82"/>
      <c r="S21" s="82"/>
    </row>
    <row r="22" spans="1:19" x14ac:dyDescent="0.5">
      <c r="Q22" s="82" t="s">
        <v>14</v>
      </c>
      <c r="R22" s="82"/>
      <c r="S22" s="82"/>
    </row>
  </sheetData>
  <mergeCells count="11">
    <mergeCell ref="Q19:S19"/>
    <mergeCell ref="Q20:S20"/>
    <mergeCell ref="Q21:S21"/>
    <mergeCell ref="Q22:S2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11"/>
  <sheetViews>
    <sheetView tabSelected="1" topLeftCell="C1" zoomScale="115" zoomScaleNormal="115" workbookViewId="0">
      <pane ySplit="3" topLeftCell="A4" activePane="bottomLeft" state="frozen"/>
      <selection activeCell="O29" sqref="O29"/>
      <selection pane="bottomLeft" activeCell="D8" sqref="D8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9.375" style="22" customWidth="1"/>
    <col min="4" max="4" width="13.75" style="1" customWidth="1"/>
    <col min="5" max="5" width="12.625" style="1" customWidth="1"/>
    <col min="6" max="7" width="12.5" style="1" customWidth="1"/>
    <col min="8" max="8" width="7.125" style="1" customWidth="1"/>
    <col min="9" max="9" width="11.25" style="1" customWidth="1"/>
    <col min="10" max="10" width="12.125" style="1" customWidth="1"/>
    <col min="11" max="11" width="12.375" style="1" customWidth="1"/>
    <col min="12" max="12" width="8.25" style="1" customWidth="1"/>
    <col min="13" max="13" width="10.25" style="1" customWidth="1"/>
    <col min="14" max="14" width="11.875" style="1" customWidth="1"/>
    <col min="15" max="15" width="12.875" style="1" customWidth="1"/>
    <col min="16" max="16" width="7.875" style="1" customWidth="1"/>
    <col min="17" max="17" width="11.125" style="1" customWidth="1"/>
    <col min="18" max="18" width="12.25" style="1" customWidth="1"/>
    <col min="19" max="16384" width="9" style="1"/>
  </cols>
  <sheetData>
    <row r="1" spans="1:19" ht="33" customHeight="1" x14ac:dyDescent="0.6">
      <c r="A1" s="83" t="s">
        <v>112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9" x14ac:dyDescent="0.5">
      <c r="A2" s="84" t="s">
        <v>0</v>
      </c>
      <c r="B2" s="85"/>
      <c r="C2" s="93" t="s">
        <v>1</v>
      </c>
      <c r="D2" s="90" t="s">
        <v>2</v>
      </c>
      <c r="E2" s="91"/>
      <c r="F2" s="92"/>
      <c r="G2" s="90" t="s">
        <v>7</v>
      </c>
      <c r="H2" s="91"/>
      <c r="I2" s="91"/>
      <c r="J2" s="92"/>
      <c r="K2" s="90" t="s">
        <v>8</v>
      </c>
      <c r="L2" s="91"/>
      <c r="M2" s="91"/>
      <c r="N2" s="92"/>
      <c r="O2" s="90" t="s">
        <v>9</v>
      </c>
      <c r="P2" s="91"/>
      <c r="Q2" s="91"/>
      <c r="R2" s="92"/>
    </row>
    <row r="3" spans="1:19" ht="26.25" customHeight="1" x14ac:dyDescent="0.5">
      <c r="A3" s="86"/>
      <c r="B3" s="87"/>
      <c r="C3" s="94"/>
      <c r="D3" s="2" t="s">
        <v>3</v>
      </c>
      <c r="E3" s="2" t="s">
        <v>4</v>
      </c>
      <c r="F3" s="3" t="s">
        <v>5</v>
      </c>
      <c r="G3" s="2" t="s">
        <v>3</v>
      </c>
      <c r="H3" s="2" t="s">
        <v>6</v>
      </c>
      <c r="I3" s="2" t="s">
        <v>4</v>
      </c>
      <c r="J3" s="2" t="s">
        <v>5</v>
      </c>
      <c r="K3" s="2" t="s">
        <v>3</v>
      </c>
      <c r="L3" s="2" t="s">
        <v>6</v>
      </c>
      <c r="M3" s="2" t="s">
        <v>4</v>
      </c>
      <c r="N3" s="2" t="s">
        <v>5</v>
      </c>
      <c r="O3" s="2" t="s">
        <v>3</v>
      </c>
      <c r="P3" s="2" t="s">
        <v>6</v>
      </c>
      <c r="Q3" s="77" t="s">
        <v>4</v>
      </c>
      <c r="R3" s="2" t="s">
        <v>5</v>
      </c>
    </row>
    <row r="4" spans="1:19" ht="30.75" customHeight="1" x14ac:dyDescent="0.5">
      <c r="A4" s="4"/>
      <c r="B4" s="46" t="s">
        <v>102</v>
      </c>
      <c r="C4" s="46"/>
      <c r="D4" s="47">
        <f t="shared" ref="D4" si="0">E4+F4</f>
        <v>29776444.68</v>
      </c>
      <c r="E4" s="47">
        <f>SUM(E5)</f>
        <v>0</v>
      </c>
      <c r="F4" s="47">
        <f>SUM(F5)</f>
        <v>29776444.68</v>
      </c>
      <c r="G4" s="47">
        <f t="shared" ref="G4" si="1">I4+J4</f>
        <v>3584822.6500000004</v>
      </c>
      <c r="H4" s="47">
        <f>G4*100/D4</f>
        <v>12.039122496070947</v>
      </c>
      <c r="I4" s="47">
        <f>SUM(I5)</f>
        <v>0</v>
      </c>
      <c r="J4" s="47">
        <f>SUM(J5)</f>
        <v>3584822.6500000004</v>
      </c>
      <c r="K4" s="47">
        <f>M4+N4</f>
        <v>0</v>
      </c>
      <c r="L4" s="47">
        <f>K4*100/D4</f>
        <v>0</v>
      </c>
      <c r="M4" s="47">
        <f>SUM(M5)</f>
        <v>0</v>
      </c>
      <c r="N4" s="47">
        <f>SUM(N5)</f>
        <v>0</v>
      </c>
      <c r="O4" s="47">
        <f>D4-G4-K4</f>
        <v>26191622.030000001</v>
      </c>
      <c r="P4" s="47">
        <f>O4*100/D4</f>
        <v>87.960877503929055</v>
      </c>
      <c r="Q4" s="47">
        <f t="shared" ref="Q4:R5" si="2">E4-I4-M4</f>
        <v>0</v>
      </c>
      <c r="R4" s="47">
        <f>F4-J4-N4</f>
        <v>26191622.030000001</v>
      </c>
      <c r="S4" s="26"/>
    </row>
    <row r="5" spans="1:19" ht="33.75" customHeight="1" x14ac:dyDescent="0.5">
      <c r="A5" s="21"/>
      <c r="B5" s="17" t="s">
        <v>103</v>
      </c>
      <c r="C5" s="24" t="s">
        <v>104</v>
      </c>
      <c r="D5" s="7">
        <f>E5+F5</f>
        <v>29776444.68</v>
      </c>
      <c r="E5" s="7">
        <v>0</v>
      </c>
      <c r="F5" s="8">
        <v>29776444.68</v>
      </c>
      <c r="G5" s="7">
        <v>0</v>
      </c>
      <c r="H5" s="7">
        <f t="shared" ref="H5" si="3">G5*100/D5</f>
        <v>0</v>
      </c>
      <c r="I5" s="7">
        <v>0</v>
      </c>
      <c r="J5" s="7">
        <f>473776+1283879.6+2160+19968+92000+80925+94270+8880+1528964.05</f>
        <v>3584822.6500000004</v>
      </c>
      <c r="K5" s="7">
        <f t="shared" ref="K5" si="4">M5+N5</f>
        <v>0</v>
      </c>
      <c r="L5" s="7">
        <f t="shared" ref="L5" si="5">K5*100/D5</f>
        <v>0</v>
      </c>
      <c r="M5" s="7">
        <v>0</v>
      </c>
      <c r="N5" s="7">
        <v>0</v>
      </c>
      <c r="O5" s="7">
        <f t="shared" ref="O5" si="6">Q5+R5</f>
        <v>26191622.030000001</v>
      </c>
      <c r="P5" s="7">
        <f t="shared" ref="P5" si="7">O5*100/D5</f>
        <v>87.960877503929055</v>
      </c>
      <c r="Q5" s="7">
        <f t="shared" si="2"/>
        <v>0</v>
      </c>
      <c r="R5" s="7">
        <f t="shared" si="2"/>
        <v>26191622.030000001</v>
      </c>
    </row>
    <row r="6" spans="1:19" ht="33.75" customHeight="1" x14ac:dyDescent="0.5">
      <c r="A6" s="41"/>
      <c r="B6" s="20"/>
      <c r="C6" s="42"/>
      <c r="D6" s="10"/>
      <c r="E6" s="10"/>
      <c r="F6" s="4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8" spans="1:19" x14ac:dyDescent="0.5">
      <c r="P8" s="82" t="s">
        <v>11</v>
      </c>
      <c r="Q8" s="82"/>
      <c r="R8" s="82"/>
    </row>
    <row r="9" spans="1:19" x14ac:dyDescent="0.5">
      <c r="E9" s="38"/>
      <c r="F9" s="38"/>
      <c r="G9" s="38"/>
      <c r="H9" s="38"/>
      <c r="I9" s="39"/>
      <c r="P9" s="82" t="s">
        <v>12</v>
      </c>
      <c r="Q9" s="82"/>
      <c r="R9" s="82"/>
    </row>
    <row r="10" spans="1:19" x14ac:dyDescent="0.5">
      <c r="P10" s="82" t="s">
        <v>13</v>
      </c>
      <c r="Q10" s="82"/>
      <c r="R10" s="82"/>
    </row>
    <row r="11" spans="1:19" x14ac:dyDescent="0.5">
      <c r="P11" s="82" t="s">
        <v>14</v>
      </c>
      <c r="Q11" s="82"/>
      <c r="R11" s="82"/>
    </row>
  </sheetData>
  <mergeCells count="11">
    <mergeCell ref="P8:R8"/>
    <mergeCell ref="P9:R9"/>
    <mergeCell ref="P10:R10"/>
    <mergeCell ref="P11:R11"/>
    <mergeCell ref="A1:R1"/>
    <mergeCell ref="A2:B3"/>
    <mergeCell ref="C2:C3"/>
    <mergeCell ref="D2:F2"/>
    <mergeCell ref="G2:J2"/>
    <mergeCell ref="K2:N2"/>
    <mergeCell ref="O2:R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3" workbookViewId="0">
      <selection activeCell="B21" sqref="B21"/>
    </sheetView>
  </sheetViews>
  <sheetFormatPr defaultRowHeight="26.25" x14ac:dyDescent="0.55000000000000004"/>
  <cols>
    <col min="1" max="1" width="15" style="71" customWidth="1"/>
    <col min="2" max="2" width="18.125" style="70" customWidth="1"/>
    <col min="3" max="16384" width="9" style="70"/>
  </cols>
  <sheetData>
    <row r="1" spans="1:1" x14ac:dyDescent="0.55000000000000004">
      <c r="A1" s="71">
        <v>11987.1</v>
      </c>
    </row>
    <row r="2" spans="1:1" x14ac:dyDescent="0.55000000000000004">
      <c r="A2" s="71">
        <v>11987.1</v>
      </c>
    </row>
    <row r="3" spans="1:1" x14ac:dyDescent="0.55000000000000004">
      <c r="A3" s="71">
        <v>11987.1</v>
      </c>
    </row>
    <row r="4" spans="1:1" x14ac:dyDescent="0.55000000000000004">
      <c r="A4" s="71">
        <v>11987.1</v>
      </c>
    </row>
    <row r="5" spans="1:1" x14ac:dyDescent="0.55000000000000004">
      <c r="A5" s="71">
        <v>11987.1</v>
      </c>
    </row>
    <row r="6" spans="1:1" x14ac:dyDescent="0.55000000000000004">
      <c r="A6" s="71">
        <v>11987.1</v>
      </c>
    </row>
    <row r="7" spans="1:1" x14ac:dyDescent="0.55000000000000004">
      <c r="A7" s="71">
        <v>11987.1</v>
      </c>
    </row>
    <row r="8" spans="1:1" x14ac:dyDescent="0.55000000000000004">
      <c r="A8" s="71">
        <v>5993.55</v>
      </c>
    </row>
    <row r="9" spans="1:1" x14ac:dyDescent="0.55000000000000004">
      <c r="A9" s="71">
        <v>11987.1</v>
      </c>
    </row>
    <row r="10" spans="1:1" x14ac:dyDescent="0.55000000000000004">
      <c r="A10" s="71">
        <v>11987.1</v>
      </c>
    </row>
    <row r="11" spans="1:1" x14ac:dyDescent="0.55000000000000004">
      <c r="A11" s="71">
        <v>11987.1</v>
      </c>
    </row>
    <row r="12" spans="1:1" x14ac:dyDescent="0.55000000000000004">
      <c r="A12" s="71">
        <v>11987.1</v>
      </c>
    </row>
    <row r="13" spans="1:1" x14ac:dyDescent="0.55000000000000004">
      <c r="A13" s="71">
        <v>11987.1</v>
      </c>
    </row>
    <row r="14" spans="1:1" x14ac:dyDescent="0.55000000000000004">
      <c r="A14" s="71">
        <v>2320</v>
      </c>
    </row>
    <row r="15" spans="1:1" x14ac:dyDescent="0.55000000000000004">
      <c r="A15" s="71">
        <v>4448</v>
      </c>
    </row>
    <row r="16" spans="1:1" x14ac:dyDescent="0.55000000000000004">
      <c r="A16" s="71">
        <v>57564</v>
      </c>
    </row>
    <row r="17" spans="1:2" x14ac:dyDescent="0.55000000000000004">
      <c r="A17" s="71">
        <v>165960</v>
      </c>
    </row>
    <row r="18" spans="1:2" x14ac:dyDescent="0.55000000000000004">
      <c r="A18" s="71">
        <v>7200</v>
      </c>
    </row>
    <row r="19" spans="1:2" x14ac:dyDescent="0.55000000000000004">
      <c r="A19" s="72">
        <f>SUM(A1:A18)</f>
        <v>387330.75</v>
      </c>
      <c r="B19" s="71">
        <v>15742431.380000001</v>
      </c>
    </row>
    <row r="20" spans="1:2" x14ac:dyDescent="0.55000000000000004">
      <c r="B20" s="73">
        <f>A19+B19</f>
        <v>16129762.130000001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2560</vt:lpstr>
      <vt:lpstr>เงินกันไม่มีหนี้</vt:lpstr>
      <vt:lpstr>กันปี 59 กรมบัญชีกลาง</vt:lpstr>
      <vt:lpstr>ปี 60   00712</vt:lpstr>
      <vt:lpstr>เงินกัน 00712 (2)</vt:lpstr>
      <vt:lpstr>เงินนอกงบประมาณ อ่างแม่เฟือง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2017-07-04T02:40:19Z</dcterms:modified>
</cp:coreProperties>
</file>