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calcPr calcId="152511"/>
</workbook>
</file>

<file path=xl/calcChain.xml><?xml version="1.0" encoding="utf-8"?>
<calcChain xmlns="http://schemas.openxmlformats.org/spreadsheetml/2006/main">
  <c r="K249" i="1" l="1"/>
  <c r="K251" i="1"/>
  <c r="K240" i="1"/>
  <c r="K267" i="1"/>
  <c r="K225" i="1"/>
  <c r="K181" i="1"/>
  <c r="K182" i="1"/>
  <c r="K183" i="1"/>
  <c r="K7" i="1"/>
  <c r="K68" i="1"/>
  <c r="K64" i="1"/>
  <c r="K99" i="1"/>
  <c r="K179" i="1"/>
  <c r="K7" i="11"/>
  <c r="J5" i="12" l="1"/>
  <c r="G202" i="1" l="1"/>
  <c r="E202" i="1" s="1"/>
  <c r="I202" i="1" s="1"/>
  <c r="B202" i="1"/>
  <c r="C202" i="1"/>
  <c r="R202" i="1"/>
  <c r="L202" i="1"/>
  <c r="H202" i="1"/>
  <c r="S202" i="1"/>
  <c r="O201" i="1"/>
  <c r="K201" i="1"/>
  <c r="F201" i="1"/>
  <c r="G201" i="1" l="1"/>
  <c r="E201" i="1" s="1"/>
  <c r="P202" i="1"/>
  <c r="Q202" i="1" s="1"/>
  <c r="M202" i="1"/>
  <c r="S201" i="1"/>
  <c r="K239" i="1"/>
  <c r="K253" i="1"/>
  <c r="K76" i="1"/>
  <c r="K238" i="1" l="1"/>
  <c r="K237" i="1"/>
  <c r="K295" i="1" l="1"/>
  <c r="G303" i="1"/>
  <c r="B303" i="1"/>
  <c r="C303" i="1"/>
  <c r="C302" i="1"/>
  <c r="E303" i="1"/>
  <c r="H303" i="1"/>
  <c r="L303" i="1"/>
  <c r="R303" i="1"/>
  <c r="S303" i="1"/>
  <c r="P303" i="1" s="1"/>
  <c r="M303" i="1" l="1"/>
  <c r="I303" i="1"/>
  <c r="Q303" i="1"/>
  <c r="K270" i="1"/>
  <c r="K287" i="1" l="1"/>
  <c r="K274" i="1"/>
  <c r="K280" i="1" l="1"/>
  <c r="K290" i="1"/>
  <c r="K231" i="1"/>
  <c r="K268" i="1"/>
  <c r="K223" i="1"/>
  <c r="K187" i="1"/>
  <c r="K189" i="1"/>
  <c r="K79" i="1"/>
  <c r="K279" i="1" l="1"/>
  <c r="K276" i="1"/>
  <c r="K221" i="1"/>
  <c r="K222" i="1"/>
  <c r="K220" i="1"/>
  <c r="K18" i="1"/>
  <c r="K63" i="1"/>
  <c r="K62" i="1"/>
  <c r="K6" i="11"/>
  <c r="K8" i="11"/>
  <c r="K5" i="11" l="1"/>
  <c r="K293" i="1"/>
  <c r="K288" i="1"/>
  <c r="K235" i="1"/>
  <c r="K230" i="1"/>
  <c r="K265" i="1"/>
  <c r="K266" i="1"/>
  <c r="K291" i="1" l="1"/>
  <c r="N295" i="1" l="1"/>
  <c r="O295" i="1"/>
  <c r="J295" i="1"/>
  <c r="G302" i="1"/>
  <c r="S302" i="1" s="1"/>
  <c r="P302" i="1" s="1"/>
  <c r="G301" i="1"/>
  <c r="S301" i="1" s="1"/>
  <c r="G300" i="1"/>
  <c r="E300" i="1" s="1"/>
  <c r="G299" i="1"/>
  <c r="S299" i="1" s="1"/>
  <c r="C301" i="1"/>
  <c r="C300" i="1"/>
  <c r="C299" i="1"/>
  <c r="B302" i="1"/>
  <c r="B301" i="1"/>
  <c r="B300" i="1"/>
  <c r="B299" i="1"/>
  <c r="H300" i="1"/>
  <c r="L300" i="1"/>
  <c r="R300" i="1"/>
  <c r="H301" i="1"/>
  <c r="L301" i="1"/>
  <c r="R301" i="1"/>
  <c r="H302" i="1"/>
  <c r="L302" i="1"/>
  <c r="R302" i="1"/>
  <c r="H299" i="1"/>
  <c r="L299" i="1"/>
  <c r="R299" i="1"/>
  <c r="M300" i="1" l="1"/>
  <c r="P301" i="1"/>
  <c r="E299" i="1"/>
  <c r="M299" i="1" s="1"/>
  <c r="E302" i="1"/>
  <c r="M302" i="1" s="1"/>
  <c r="E301" i="1"/>
  <c r="S300" i="1"/>
  <c r="P300" i="1" s="1"/>
  <c r="Q300" i="1" s="1"/>
  <c r="I300" i="1"/>
  <c r="P299" i="1"/>
  <c r="Q299" i="1" s="1"/>
  <c r="K125" i="1"/>
  <c r="Q301" i="1" l="1"/>
  <c r="I299" i="1"/>
  <c r="I301" i="1"/>
  <c r="I302" i="1"/>
  <c r="Q302" i="1"/>
  <c r="M301" i="1"/>
  <c r="K6" i="8"/>
  <c r="K233" i="1" l="1"/>
  <c r="K242" i="1"/>
  <c r="K78" i="1"/>
  <c r="K294" i="1" l="1"/>
  <c r="K227" i="1" l="1"/>
  <c r="K217" i="1" l="1"/>
  <c r="K86" i="1" l="1"/>
  <c r="K192" i="1"/>
  <c r="K215" i="1" l="1"/>
  <c r="K198" i="1"/>
  <c r="K81" i="1"/>
  <c r="K77" i="1"/>
  <c r="K75" i="1"/>
  <c r="K74" i="1"/>
  <c r="K72" i="1"/>
  <c r="K80" i="1"/>
  <c r="K73" i="1"/>
  <c r="K71" i="1"/>
  <c r="K70" i="1"/>
  <c r="H297" i="1" l="1"/>
  <c r="H298" i="1"/>
  <c r="H296" i="1"/>
  <c r="F295" i="1"/>
  <c r="G298" i="1"/>
  <c r="S298" i="1" s="1"/>
  <c r="G297" i="1"/>
  <c r="E297" i="1" s="1"/>
  <c r="G296" i="1"/>
  <c r="L297" i="1"/>
  <c r="R297" i="1"/>
  <c r="L298" i="1"/>
  <c r="R298" i="1"/>
  <c r="B298" i="1"/>
  <c r="B297" i="1"/>
  <c r="B296" i="1"/>
  <c r="C298" i="1"/>
  <c r="C297" i="1"/>
  <c r="C296" i="1"/>
  <c r="R296" i="1"/>
  <c r="L296" i="1"/>
  <c r="R295" i="1"/>
  <c r="G295" i="1" l="1"/>
  <c r="E296" i="1"/>
  <c r="E298" i="1"/>
  <c r="M298" i="1" s="1"/>
  <c r="M296" i="1"/>
  <c r="I297" i="1"/>
  <c r="P298" i="1"/>
  <c r="M297" i="1"/>
  <c r="S297" i="1"/>
  <c r="P297" i="1" s="1"/>
  <c r="Q297" i="1" s="1"/>
  <c r="L295" i="1"/>
  <c r="S295" i="1"/>
  <c r="P295" i="1" s="1"/>
  <c r="H295" i="1"/>
  <c r="I296" i="1"/>
  <c r="S296" i="1"/>
  <c r="P296" i="1" s="1"/>
  <c r="E295" i="1"/>
  <c r="K210" i="1"/>
  <c r="K65" i="1"/>
  <c r="K34" i="1"/>
  <c r="Q296" i="1" l="1"/>
  <c r="Q298" i="1"/>
  <c r="I298" i="1"/>
  <c r="M295" i="1"/>
  <c r="Q295" i="1"/>
  <c r="I295" i="1"/>
  <c r="K209" i="1" l="1"/>
  <c r="K248" i="1" l="1"/>
  <c r="K250" i="1"/>
  <c r="K9" i="1"/>
  <c r="K195" i="1" l="1"/>
  <c r="K196" i="1"/>
  <c r="J290" i="1" l="1"/>
  <c r="K43" i="1" l="1"/>
  <c r="J284" i="1" l="1"/>
  <c r="J252" i="1"/>
  <c r="J247" i="1"/>
  <c r="J236" i="1"/>
  <c r="J226" i="1"/>
  <c r="J224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6" i="1" l="1"/>
  <c r="K245" i="1"/>
  <c r="K243" i="1"/>
  <c r="K205" i="1" l="1"/>
  <c r="K208" i="1"/>
  <c r="K219" i="1"/>
  <c r="M4" i="12" l="1"/>
  <c r="N4" i="12"/>
  <c r="I4" i="12"/>
  <c r="J4" i="12"/>
  <c r="E4" i="12"/>
  <c r="F4" i="12"/>
  <c r="D5" i="12"/>
  <c r="Q5" i="12"/>
  <c r="K5" i="12"/>
  <c r="K4" i="12"/>
  <c r="L5" i="12" l="1"/>
  <c r="G4" i="12"/>
  <c r="Q4" i="12"/>
  <c r="R5" i="12"/>
  <c r="O5" i="12" s="1"/>
  <c r="P5" i="12" s="1"/>
  <c r="R4" i="12"/>
  <c r="H5" i="12"/>
  <c r="D4" i="12"/>
  <c r="O4" i="12" l="1"/>
  <c r="P4" i="12" s="1"/>
  <c r="L4" i="12"/>
  <c r="H4" i="12"/>
  <c r="K194" i="1" l="1"/>
  <c r="K193" i="1" s="1"/>
  <c r="K177" i="1" l="1"/>
  <c r="K32" i="1"/>
  <c r="K29" i="1"/>
  <c r="K191" i="1" l="1"/>
  <c r="K14" i="1"/>
  <c r="G291" i="1" l="1"/>
  <c r="G290" i="1"/>
  <c r="K190" i="1" l="1"/>
  <c r="K9" i="9" l="1"/>
  <c r="K10" i="9"/>
  <c r="K188" i="1"/>
  <c r="K271" i="1"/>
  <c r="K269" i="1" s="1"/>
  <c r="K82" i="1" l="1"/>
  <c r="K7" i="9" l="1"/>
  <c r="K7" i="7" l="1"/>
  <c r="K13" i="7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7" i="1"/>
  <c r="K67" i="1" l="1"/>
  <c r="K49" i="1" l="1"/>
  <c r="K10" i="1"/>
  <c r="K13" i="1" l="1"/>
  <c r="G276" i="1" l="1"/>
  <c r="S276" i="1" s="1"/>
  <c r="C276" i="1"/>
  <c r="B276" i="1"/>
  <c r="R276" i="1"/>
  <c r="L276" i="1"/>
  <c r="H276" i="1"/>
  <c r="O275" i="1"/>
  <c r="N275" i="1"/>
  <c r="L275" i="1"/>
  <c r="K275" i="1"/>
  <c r="J275" i="1"/>
  <c r="F275" i="1"/>
  <c r="G275" i="1" l="1"/>
  <c r="E275" i="1" s="1"/>
  <c r="R275" i="1"/>
  <c r="H275" i="1"/>
  <c r="E276" i="1"/>
  <c r="I276" i="1" s="1"/>
  <c r="P276" i="1"/>
  <c r="S275" i="1" l="1"/>
  <c r="P275" i="1" s="1"/>
  <c r="Q275" i="1" s="1"/>
  <c r="I275" i="1"/>
  <c r="M276" i="1"/>
  <c r="Q276" i="1"/>
  <c r="N5" i="11"/>
  <c r="N4" i="11" s="1"/>
  <c r="O5" i="11"/>
  <c r="O4" i="11" s="1"/>
  <c r="K4" i="11"/>
  <c r="G8" i="11"/>
  <c r="S8" i="11" s="1"/>
  <c r="P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P6" i="11" l="1"/>
  <c r="G5" i="11"/>
  <c r="G4" i="11" s="1"/>
  <c r="L5" i="11"/>
  <c r="E7" i="11"/>
  <c r="R4" i="11"/>
  <c r="E6" i="11"/>
  <c r="M6" i="11" s="1"/>
  <c r="M7" i="11"/>
  <c r="H6" i="11"/>
  <c r="P7" i="11"/>
  <c r="H5" i="11"/>
  <c r="S5" i="11"/>
  <c r="L4" i="11"/>
  <c r="R5" i="11"/>
  <c r="E8" i="11"/>
  <c r="I8" i="11" s="1"/>
  <c r="H7" i="11"/>
  <c r="I7" i="11" s="1"/>
  <c r="E5" i="11" l="1"/>
  <c r="I5" i="11"/>
  <c r="Q7" i="11"/>
  <c r="Q6" i="1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110" i="1" l="1"/>
  <c r="O292" i="1" l="1"/>
  <c r="K292" i="1"/>
  <c r="G294" i="1"/>
  <c r="E294" i="1" s="1"/>
  <c r="C294" i="1"/>
  <c r="B294" i="1"/>
  <c r="H294" i="1"/>
  <c r="L294" i="1"/>
  <c r="R294" i="1"/>
  <c r="S294" i="1"/>
  <c r="P294" i="1" l="1"/>
  <c r="M294" i="1"/>
  <c r="I294" i="1"/>
  <c r="Q294" i="1"/>
  <c r="K26" i="1" l="1"/>
  <c r="K58" i="1"/>
  <c r="K56" i="1"/>
  <c r="K126" i="1"/>
  <c r="K92" i="1"/>
  <c r="K236" i="1" l="1"/>
  <c r="G246" i="1"/>
  <c r="E246" i="1" s="1"/>
  <c r="G245" i="1"/>
  <c r="E245" i="1" s="1"/>
  <c r="G244" i="1"/>
  <c r="E244" i="1" s="1"/>
  <c r="G243" i="1"/>
  <c r="S243" i="1" s="1"/>
  <c r="C244" i="1"/>
  <c r="C245" i="1"/>
  <c r="C246" i="1"/>
  <c r="C243" i="1"/>
  <c r="B246" i="1"/>
  <c r="B245" i="1"/>
  <c r="B244" i="1"/>
  <c r="B243" i="1"/>
  <c r="H244" i="1"/>
  <c r="L244" i="1"/>
  <c r="R244" i="1"/>
  <c r="H245" i="1"/>
  <c r="L245" i="1"/>
  <c r="R245" i="1"/>
  <c r="H246" i="1"/>
  <c r="L246" i="1"/>
  <c r="R246" i="1"/>
  <c r="H243" i="1"/>
  <c r="L243" i="1"/>
  <c r="R243" i="1"/>
  <c r="M245" i="1" l="1"/>
  <c r="P243" i="1"/>
  <c r="I246" i="1"/>
  <c r="M246" i="1"/>
  <c r="S246" i="1"/>
  <c r="P246" i="1" s="1"/>
  <c r="Q246" i="1" s="1"/>
  <c r="I245" i="1"/>
  <c r="S245" i="1"/>
  <c r="P245" i="1" s="1"/>
  <c r="Q245" i="1" s="1"/>
  <c r="M244" i="1"/>
  <c r="I244" i="1"/>
  <c r="S244" i="1"/>
  <c r="P244" i="1" s="1"/>
  <c r="Q244" i="1" s="1"/>
  <c r="E243" i="1"/>
  <c r="M243" i="1" s="1"/>
  <c r="K109" i="1"/>
  <c r="Q243" i="1" l="1"/>
  <c r="I243" i="1"/>
  <c r="K66" i="1" l="1"/>
  <c r="K52" i="1"/>
  <c r="K96" i="1"/>
  <c r="K57" i="1"/>
  <c r="K108" i="1"/>
  <c r="K123" i="1"/>
  <c r="O184" i="1" l="1"/>
  <c r="K184" i="1"/>
  <c r="F184" i="1"/>
  <c r="G192" i="1"/>
  <c r="E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M192" i="1" l="1"/>
  <c r="I192" i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Q190" i="1" l="1"/>
  <c r="I190" i="1"/>
  <c r="E200" i="1"/>
  <c r="M200" i="1" s="1"/>
  <c r="K11" i="7"/>
  <c r="K10" i="7"/>
  <c r="A19" i="10" l="1"/>
  <c r="B20" i="10" s="1"/>
  <c r="K53" i="1"/>
  <c r="K40" i="1" l="1"/>
  <c r="K21" i="1"/>
  <c r="K60" i="1"/>
  <c r="K55" i="1"/>
  <c r="K16" i="9" l="1"/>
  <c r="N292" i="1" l="1"/>
  <c r="J292" i="1"/>
  <c r="F292" i="1"/>
  <c r="G293" i="1"/>
  <c r="G292" i="1" s="1"/>
  <c r="R292" i="1" l="1"/>
  <c r="L292" i="1"/>
  <c r="H292" i="1"/>
  <c r="S292" i="1"/>
  <c r="E292" i="1"/>
  <c r="S293" i="1"/>
  <c r="L293" i="1"/>
  <c r="H293" i="1"/>
  <c r="R293" i="1"/>
  <c r="E293" i="1"/>
  <c r="C293" i="1"/>
  <c r="B293" i="1"/>
  <c r="I293" i="1" l="1"/>
  <c r="I292" i="1"/>
  <c r="M293" i="1"/>
  <c r="P292" i="1"/>
  <c r="Q292" i="1" s="1"/>
  <c r="M292" i="1"/>
  <c r="P293" i="1"/>
  <c r="Q293" i="1" s="1"/>
  <c r="K17" i="1"/>
  <c r="K121" i="1"/>
  <c r="T292" i="1" l="1"/>
  <c r="F278" i="1"/>
  <c r="F291" i="1" l="1"/>
  <c r="E291" i="1" s="1"/>
  <c r="F290" i="1"/>
  <c r="R290" i="1" s="1"/>
  <c r="H291" i="1"/>
  <c r="L291" i="1"/>
  <c r="R291" i="1"/>
  <c r="S291" i="1"/>
  <c r="L290" i="1"/>
  <c r="H290" i="1"/>
  <c r="S290" i="1"/>
  <c r="B291" i="1"/>
  <c r="B290" i="1"/>
  <c r="C291" i="1"/>
  <c r="C290" i="1"/>
  <c r="O289" i="1"/>
  <c r="N289" i="1"/>
  <c r="K289" i="1"/>
  <c r="J289" i="1"/>
  <c r="M291" i="1" l="1"/>
  <c r="P291" i="1"/>
  <c r="Q291" i="1" s="1"/>
  <c r="F289" i="1"/>
  <c r="R289" i="1" s="1"/>
  <c r="I291" i="1"/>
  <c r="P290" i="1"/>
  <c r="E290" i="1"/>
  <c r="I290" i="1" s="1"/>
  <c r="G289" i="1"/>
  <c r="S289" i="1" s="1"/>
  <c r="H289" i="1"/>
  <c r="L289" i="1"/>
  <c r="K50" i="1"/>
  <c r="K35" i="1"/>
  <c r="K117" i="1"/>
  <c r="K113" i="1"/>
  <c r="K105" i="1"/>
  <c r="K106" i="1"/>
  <c r="K16" i="1"/>
  <c r="E289" i="1" l="1"/>
  <c r="P289" i="1"/>
  <c r="Q289" i="1" s="1"/>
  <c r="M290" i="1"/>
  <c r="Q290" i="1"/>
  <c r="I289" i="1"/>
  <c r="K36" i="1"/>
  <c r="K176" i="1"/>
  <c r="K19" i="1"/>
  <c r="K175" i="1"/>
  <c r="K104" i="1"/>
  <c r="K85" i="1"/>
  <c r="B29" i="1"/>
  <c r="K25" i="1"/>
  <c r="K20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O236" i="1" l="1"/>
  <c r="B242" i="1"/>
  <c r="B241" i="1"/>
  <c r="B240" i="1"/>
  <c r="B239" i="1"/>
  <c r="G242" i="1"/>
  <c r="E242" i="1" s="1"/>
  <c r="G241" i="1"/>
  <c r="E241" i="1" s="1"/>
  <c r="G240" i="1"/>
  <c r="E240" i="1" s="1"/>
  <c r="G239" i="1"/>
  <c r="S239" i="1" s="1"/>
  <c r="C242" i="1"/>
  <c r="C241" i="1"/>
  <c r="C240" i="1"/>
  <c r="C239" i="1"/>
  <c r="H240" i="1"/>
  <c r="L240" i="1"/>
  <c r="R240" i="1"/>
  <c r="H241" i="1"/>
  <c r="L241" i="1"/>
  <c r="R241" i="1"/>
  <c r="H242" i="1"/>
  <c r="L242" i="1"/>
  <c r="R242" i="1"/>
  <c r="H239" i="1"/>
  <c r="L239" i="1"/>
  <c r="R239" i="1"/>
  <c r="S241" i="1" l="1"/>
  <c r="P241" i="1" s="1"/>
  <c r="Q241" i="1" s="1"/>
  <c r="S242" i="1"/>
  <c r="P242" i="1" s="1"/>
  <c r="Q242" i="1" s="1"/>
  <c r="M241" i="1"/>
  <c r="P239" i="1"/>
  <c r="I242" i="1"/>
  <c r="M242" i="1"/>
  <c r="I241" i="1"/>
  <c r="M240" i="1"/>
  <c r="I240" i="1"/>
  <c r="S240" i="1"/>
  <c r="P240" i="1" s="1"/>
  <c r="Q240" i="1" s="1"/>
  <c r="E239" i="1"/>
  <c r="M239" i="1" s="1"/>
  <c r="K88" i="1"/>
  <c r="Q239" i="1" l="1"/>
  <c r="I239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4" i="1" l="1"/>
  <c r="K204" i="1"/>
  <c r="B210" i="1"/>
  <c r="C210" i="1"/>
  <c r="G210" i="1"/>
  <c r="E210" i="1" s="1"/>
  <c r="H210" i="1"/>
  <c r="L210" i="1"/>
  <c r="R210" i="1"/>
  <c r="M210" i="1" l="1"/>
  <c r="S210" i="1"/>
  <c r="P210" i="1" s="1"/>
  <c r="Q210" i="1" s="1"/>
  <c r="I210" i="1"/>
  <c r="O284" i="1" l="1"/>
  <c r="K284" i="1"/>
  <c r="G285" i="1"/>
  <c r="B285" i="1"/>
  <c r="C285" i="1"/>
  <c r="L285" i="1"/>
  <c r="H285" i="1"/>
  <c r="G284" i="1" l="1"/>
  <c r="S285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9" i="1"/>
  <c r="G272" i="1"/>
  <c r="S272" i="1" s="1"/>
  <c r="B272" i="1"/>
  <c r="C272" i="1"/>
  <c r="H272" i="1"/>
  <c r="L272" i="1"/>
  <c r="R272" i="1"/>
  <c r="O264" i="1"/>
  <c r="K264" i="1"/>
  <c r="F264" i="1"/>
  <c r="G268" i="1"/>
  <c r="S268" i="1" s="1"/>
  <c r="B268" i="1"/>
  <c r="C268" i="1"/>
  <c r="H268" i="1"/>
  <c r="L268" i="1"/>
  <c r="R268" i="1"/>
  <c r="P272" i="1" l="1"/>
  <c r="E272" i="1"/>
  <c r="M272" i="1" s="1"/>
  <c r="E268" i="1"/>
  <c r="I268" i="1" s="1"/>
  <c r="P268" i="1"/>
  <c r="B209" i="1"/>
  <c r="G209" i="1"/>
  <c r="E209" i="1" s="1"/>
  <c r="H209" i="1"/>
  <c r="L209" i="1"/>
  <c r="R209" i="1"/>
  <c r="C209" i="1"/>
  <c r="Q268" i="1" l="1"/>
  <c r="S209" i="1"/>
  <c r="P209" i="1" s="1"/>
  <c r="Q209" i="1" s="1"/>
  <c r="Q272" i="1"/>
  <c r="I272" i="1"/>
  <c r="M268" i="1"/>
  <c r="I209" i="1"/>
  <c r="M209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C99" i="1"/>
  <c r="H99" i="1"/>
  <c r="L99" i="1"/>
  <c r="R99" i="1"/>
  <c r="M99" i="1" l="1"/>
  <c r="M62" i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4" i="1"/>
  <c r="E274" i="1" s="1"/>
  <c r="B274" i="1"/>
  <c r="C274" i="1"/>
  <c r="O273" i="1"/>
  <c r="R274" i="1"/>
  <c r="L274" i="1"/>
  <c r="H274" i="1"/>
  <c r="N273" i="1"/>
  <c r="K273" i="1"/>
  <c r="J273" i="1"/>
  <c r="F273" i="1"/>
  <c r="G271" i="1"/>
  <c r="E271" i="1" s="1"/>
  <c r="G270" i="1"/>
  <c r="B271" i="1"/>
  <c r="B270" i="1"/>
  <c r="C271" i="1"/>
  <c r="C270" i="1"/>
  <c r="H271" i="1"/>
  <c r="L271" i="1"/>
  <c r="R271" i="1"/>
  <c r="R270" i="1"/>
  <c r="L270" i="1"/>
  <c r="H270" i="1"/>
  <c r="N269" i="1"/>
  <c r="J269" i="1"/>
  <c r="F269" i="1"/>
  <c r="G267" i="1"/>
  <c r="E267" i="1" s="1"/>
  <c r="G266" i="1"/>
  <c r="E266" i="1" s="1"/>
  <c r="G265" i="1"/>
  <c r="B267" i="1"/>
  <c r="B266" i="1"/>
  <c r="B265" i="1"/>
  <c r="H266" i="1"/>
  <c r="L266" i="1"/>
  <c r="R266" i="1"/>
  <c r="H267" i="1"/>
  <c r="L267" i="1"/>
  <c r="R267" i="1"/>
  <c r="R265" i="1"/>
  <c r="L265" i="1"/>
  <c r="H265" i="1"/>
  <c r="C267" i="1"/>
  <c r="C266" i="1"/>
  <c r="C265" i="1"/>
  <c r="N264" i="1"/>
  <c r="L264" i="1" s="1"/>
  <c r="J264" i="1"/>
  <c r="H264" i="1" s="1"/>
  <c r="G263" i="1"/>
  <c r="E263" i="1" s="1"/>
  <c r="G262" i="1"/>
  <c r="E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S256" i="1" s="1"/>
  <c r="G255" i="1"/>
  <c r="S255" i="1" s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H262" i="1"/>
  <c r="L262" i="1"/>
  <c r="R262" i="1"/>
  <c r="H263" i="1"/>
  <c r="L263" i="1"/>
  <c r="R263" i="1"/>
  <c r="B263" i="1"/>
  <c r="B262" i="1"/>
  <c r="B261" i="1"/>
  <c r="B260" i="1"/>
  <c r="B259" i="1"/>
  <c r="B258" i="1"/>
  <c r="B257" i="1"/>
  <c r="B256" i="1"/>
  <c r="B255" i="1"/>
  <c r="O254" i="1"/>
  <c r="K254" i="1"/>
  <c r="C263" i="1"/>
  <c r="C262" i="1"/>
  <c r="C261" i="1"/>
  <c r="C260" i="1"/>
  <c r="C259" i="1"/>
  <c r="C258" i="1"/>
  <c r="C257" i="1"/>
  <c r="C256" i="1"/>
  <c r="C255" i="1"/>
  <c r="R255" i="1"/>
  <c r="L255" i="1"/>
  <c r="H255" i="1"/>
  <c r="N254" i="1"/>
  <c r="J254" i="1"/>
  <c r="F254" i="1"/>
  <c r="S274" i="1" l="1"/>
  <c r="P274" i="1" s="1"/>
  <c r="Q274" i="1" s="1"/>
  <c r="G273" i="1"/>
  <c r="L269" i="1"/>
  <c r="G269" i="1"/>
  <c r="S269" i="1" s="1"/>
  <c r="E256" i="1"/>
  <c r="M256" i="1" s="1"/>
  <c r="S265" i="1"/>
  <c r="P265" i="1" s="1"/>
  <c r="G264" i="1"/>
  <c r="S264" i="1" s="1"/>
  <c r="I260" i="1"/>
  <c r="E255" i="1"/>
  <c r="I255" i="1" s="1"/>
  <c r="S260" i="1"/>
  <c r="P260" i="1" s="1"/>
  <c r="Q260" i="1" s="1"/>
  <c r="S259" i="1"/>
  <c r="P259" i="1" s="1"/>
  <c r="Q259" i="1" s="1"/>
  <c r="S262" i="1"/>
  <c r="P262" i="1" s="1"/>
  <c r="Q262" i="1" s="1"/>
  <c r="S261" i="1"/>
  <c r="P261" i="1" s="1"/>
  <c r="Q261" i="1" s="1"/>
  <c r="S271" i="1"/>
  <c r="P271" i="1" s="1"/>
  <c r="Q271" i="1" s="1"/>
  <c r="S270" i="1"/>
  <c r="P270" i="1" s="1"/>
  <c r="M274" i="1"/>
  <c r="M261" i="1"/>
  <c r="I261" i="1"/>
  <c r="S258" i="1"/>
  <c r="P258" i="1" s="1"/>
  <c r="Q258" i="1" s="1"/>
  <c r="S267" i="1"/>
  <c r="P267" i="1" s="1"/>
  <c r="Q267" i="1" s="1"/>
  <c r="S266" i="1"/>
  <c r="P266" i="1" s="1"/>
  <c r="Q266" i="1" s="1"/>
  <c r="M271" i="1"/>
  <c r="M259" i="1"/>
  <c r="I274" i="1"/>
  <c r="I259" i="1"/>
  <c r="M266" i="1"/>
  <c r="H254" i="1"/>
  <c r="I271" i="1"/>
  <c r="L273" i="1"/>
  <c r="L254" i="1"/>
  <c r="S273" i="1"/>
  <c r="R273" i="1"/>
  <c r="H273" i="1"/>
  <c r="E273" i="1"/>
  <c r="R269" i="1"/>
  <c r="E270" i="1"/>
  <c r="I270" i="1" s="1"/>
  <c r="H269" i="1"/>
  <c r="M267" i="1"/>
  <c r="I267" i="1"/>
  <c r="I266" i="1"/>
  <c r="R264" i="1"/>
  <c r="E265" i="1"/>
  <c r="I265" i="1" s="1"/>
  <c r="M263" i="1"/>
  <c r="I263" i="1"/>
  <c r="S263" i="1"/>
  <c r="P263" i="1" s="1"/>
  <c r="Q263" i="1" s="1"/>
  <c r="I262" i="1"/>
  <c r="M262" i="1"/>
  <c r="M260" i="1"/>
  <c r="I258" i="1"/>
  <c r="M258" i="1"/>
  <c r="M257" i="1"/>
  <c r="S257" i="1"/>
  <c r="P257" i="1" s="1"/>
  <c r="Q257" i="1" s="1"/>
  <c r="I257" i="1"/>
  <c r="P256" i="1"/>
  <c r="G254" i="1"/>
  <c r="S254" i="1" s="1"/>
  <c r="P255" i="1"/>
  <c r="R254" i="1"/>
  <c r="Q256" i="1" l="1"/>
  <c r="I273" i="1"/>
  <c r="I256" i="1"/>
  <c r="M255" i="1"/>
  <c r="Q255" i="1"/>
  <c r="E269" i="1"/>
  <c r="I269" i="1" s="1"/>
  <c r="Q265" i="1"/>
  <c r="P273" i="1"/>
  <c r="Q273" i="1" s="1"/>
  <c r="Q270" i="1"/>
  <c r="P269" i="1"/>
  <c r="P264" i="1"/>
  <c r="M270" i="1"/>
  <c r="E264" i="1"/>
  <c r="I264" i="1" s="1"/>
  <c r="M265" i="1"/>
  <c r="E254" i="1"/>
  <c r="I254" i="1" s="1"/>
  <c r="P254" i="1"/>
  <c r="Q269" i="1" l="1"/>
  <c r="Q254" i="1"/>
  <c r="Q264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3" i="1"/>
  <c r="R253" i="1"/>
  <c r="L253" i="1"/>
  <c r="H253" i="1"/>
  <c r="O252" i="1"/>
  <c r="K252" i="1"/>
  <c r="F252" i="1"/>
  <c r="N252" i="1"/>
  <c r="M186" i="1" l="1"/>
  <c r="Q186" i="1"/>
  <c r="H252" i="1"/>
  <c r="L252" i="1"/>
  <c r="E184" i="1"/>
  <c r="I184" i="1" s="1"/>
  <c r="Q185" i="1"/>
  <c r="I185" i="1"/>
  <c r="R252" i="1"/>
  <c r="B251" i="1"/>
  <c r="B250" i="1"/>
  <c r="B249" i="1"/>
  <c r="B248" i="1"/>
  <c r="G251" i="1"/>
  <c r="E251" i="1" s="1"/>
  <c r="G249" i="1"/>
  <c r="E249" i="1" s="1"/>
  <c r="G248" i="1"/>
  <c r="S248" i="1" s="1"/>
  <c r="O247" i="1"/>
  <c r="K247" i="1"/>
  <c r="F247" i="1"/>
  <c r="H249" i="1"/>
  <c r="L249" i="1"/>
  <c r="R249" i="1"/>
  <c r="H250" i="1"/>
  <c r="L250" i="1"/>
  <c r="R250" i="1"/>
  <c r="H251" i="1"/>
  <c r="L251" i="1"/>
  <c r="R251" i="1"/>
  <c r="R248" i="1"/>
  <c r="L248" i="1"/>
  <c r="H248" i="1"/>
  <c r="C249" i="1"/>
  <c r="C250" i="1"/>
  <c r="C251" i="1"/>
  <c r="C248" i="1"/>
  <c r="I251" i="1" l="1"/>
  <c r="S251" i="1"/>
  <c r="P251" i="1" s="1"/>
  <c r="Q251" i="1" s="1"/>
  <c r="M251" i="1"/>
  <c r="M249" i="1"/>
  <c r="I249" i="1"/>
  <c r="S249" i="1"/>
  <c r="P249" i="1" s="1"/>
  <c r="Q249" i="1" s="1"/>
  <c r="E248" i="1"/>
  <c r="I248" i="1" s="1"/>
  <c r="P248" i="1"/>
  <c r="B230" i="1"/>
  <c r="O229" i="1"/>
  <c r="K229" i="1"/>
  <c r="K228" i="1" s="1"/>
  <c r="F229" i="1"/>
  <c r="G238" i="1"/>
  <c r="E238" i="1" s="1"/>
  <c r="G237" i="1"/>
  <c r="B238" i="1"/>
  <c r="B237" i="1"/>
  <c r="C238" i="1"/>
  <c r="C237" i="1"/>
  <c r="H238" i="1"/>
  <c r="L238" i="1"/>
  <c r="R238" i="1"/>
  <c r="R237" i="1"/>
  <c r="R236" i="1" s="1"/>
  <c r="L237" i="1"/>
  <c r="H237" i="1"/>
  <c r="F236" i="1"/>
  <c r="G236" i="1" l="1"/>
  <c r="E237" i="1"/>
  <c r="I237" i="1" s="1"/>
  <c r="O228" i="1"/>
  <c r="F228" i="1"/>
  <c r="Q248" i="1"/>
  <c r="M248" i="1"/>
  <c r="I238" i="1"/>
  <c r="M238" i="1"/>
  <c r="S238" i="1"/>
  <c r="P238" i="1" s="1"/>
  <c r="Q238" i="1" s="1"/>
  <c r="S237" i="1"/>
  <c r="P237" i="1" s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M237" i="1" l="1"/>
  <c r="S236" i="1"/>
  <c r="E161" i="1"/>
  <c r="I161" i="1" s="1"/>
  <c r="Q237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6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P161" i="1"/>
  <c r="Q161" i="1" s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M161" i="1" l="1"/>
  <c r="I123" i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G180" i="1" s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S181" i="1"/>
  <c r="P181" i="1" s="1"/>
  <c r="I182" i="1"/>
  <c r="M182" i="1"/>
  <c r="S182" i="1"/>
  <c r="P182" i="1" s="1"/>
  <c r="Q182" i="1" s="1"/>
  <c r="H180" i="1"/>
  <c r="G235" i="1"/>
  <c r="E235" i="1" s="1"/>
  <c r="G234" i="1"/>
  <c r="E234" i="1" s="1"/>
  <c r="B235" i="1"/>
  <c r="B234" i="1"/>
  <c r="C235" i="1"/>
  <c r="C234" i="1"/>
  <c r="H234" i="1"/>
  <c r="L234" i="1"/>
  <c r="R234" i="1"/>
  <c r="H235" i="1"/>
  <c r="L235" i="1"/>
  <c r="R235" i="1"/>
  <c r="E180" i="1" l="1"/>
  <c r="Q181" i="1"/>
  <c r="M181" i="1"/>
  <c r="I180" i="1"/>
  <c r="M234" i="1"/>
  <c r="I235" i="1"/>
  <c r="S180" i="1"/>
  <c r="S235" i="1"/>
  <c r="P235" i="1" s="1"/>
  <c r="Q235" i="1" s="1"/>
  <c r="S234" i="1"/>
  <c r="P234" i="1" s="1"/>
  <c r="Q234" i="1" s="1"/>
  <c r="M235" i="1"/>
  <c r="I234" i="1"/>
  <c r="G227" i="1"/>
  <c r="S227" i="1" s="1"/>
  <c r="C227" i="1"/>
  <c r="B227" i="1"/>
  <c r="R227" i="1"/>
  <c r="L227" i="1"/>
  <c r="H227" i="1"/>
  <c r="O226" i="1"/>
  <c r="K226" i="1"/>
  <c r="F226" i="1"/>
  <c r="G225" i="1"/>
  <c r="G224" i="1" s="1"/>
  <c r="C225" i="1"/>
  <c r="B225" i="1"/>
  <c r="O224" i="1"/>
  <c r="K224" i="1"/>
  <c r="F224" i="1"/>
  <c r="R225" i="1"/>
  <c r="R224" i="1" s="1"/>
  <c r="L225" i="1"/>
  <c r="H225" i="1"/>
  <c r="G208" i="1"/>
  <c r="E208" i="1" s="1"/>
  <c r="B208" i="1"/>
  <c r="C208" i="1"/>
  <c r="H208" i="1"/>
  <c r="L208" i="1"/>
  <c r="R208" i="1"/>
  <c r="E224" i="1" l="1"/>
  <c r="E225" i="1"/>
  <c r="M225" i="1" s="1"/>
  <c r="S225" i="1"/>
  <c r="P225" i="1" s="1"/>
  <c r="P227" i="1"/>
  <c r="G226" i="1"/>
  <c r="E227" i="1"/>
  <c r="M227" i="1" s="1"/>
  <c r="S224" i="1"/>
  <c r="S208" i="1"/>
  <c r="P208" i="1" s="1"/>
  <c r="Q208" i="1" s="1"/>
  <c r="I208" i="1"/>
  <c r="M208" i="1"/>
  <c r="Q225" i="1" l="1"/>
  <c r="I225" i="1"/>
  <c r="E226" i="1"/>
  <c r="S226" i="1"/>
  <c r="I227" i="1"/>
  <c r="Q227" i="1"/>
  <c r="G288" i="1"/>
  <c r="E288" i="1" s="1"/>
  <c r="G287" i="1"/>
  <c r="B288" i="1"/>
  <c r="B287" i="1"/>
  <c r="C288" i="1"/>
  <c r="C287" i="1"/>
  <c r="N286" i="1"/>
  <c r="N284" i="1" s="1"/>
  <c r="O286" i="1"/>
  <c r="J286" i="1"/>
  <c r="K286" i="1"/>
  <c r="F286" i="1"/>
  <c r="H288" i="1"/>
  <c r="L288" i="1"/>
  <c r="R288" i="1"/>
  <c r="L287" i="1"/>
  <c r="H287" i="1"/>
  <c r="R287" i="1" l="1"/>
  <c r="R285" i="1"/>
  <c r="E285" i="1"/>
  <c r="H284" i="1"/>
  <c r="L284" i="1"/>
  <c r="L286" i="1"/>
  <c r="R286" i="1"/>
  <c r="E287" i="1"/>
  <c r="I287" i="1" s="1"/>
  <c r="S288" i="1"/>
  <c r="P288" i="1" s="1"/>
  <c r="Q288" i="1" s="1"/>
  <c r="I288" i="1"/>
  <c r="M288" i="1"/>
  <c r="S287" i="1"/>
  <c r="P287" i="1" s="1"/>
  <c r="Q287" i="1" s="1"/>
  <c r="G286" i="1"/>
  <c r="H286" i="1"/>
  <c r="F283" i="1"/>
  <c r="R283" i="1" s="1"/>
  <c r="F282" i="1"/>
  <c r="R282" i="1" s="1"/>
  <c r="N281" i="1"/>
  <c r="N247" i="1" s="1"/>
  <c r="L247" i="1" s="1"/>
  <c r="O281" i="1"/>
  <c r="J281" i="1"/>
  <c r="K281" i="1"/>
  <c r="G281" i="1"/>
  <c r="B283" i="1"/>
  <c r="B282" i="1"/>
  <c r="C283" i="1"/>
  <c r="C282" i="1"/>
  <c r="H283" i="1"/>
  <c r="L283" i="1"/>
  <c r="S283" i="1"/>
  <c r="L282" i="1"/>
  <c r="H282" i="1"/>
  <c r="S282" i="1"/>
  <c r="P285" i="1" l="1"/>
  <c r="R284" i="1"/>
  <c r="I285" i="1"/>
  <c r="M285" i="1"/>
  <c r="Q285" i="1"/>
  <c r="E286" i="1"/>
  <c r="I286" i="1" s="1"/>
  <c r="S281" i="1"/>
  <c r="H247" i="1"/>
  <c r="R247" i="1"/>
  <c r="L281" i="1"/>
  <c r="M287" i="1"/>
  <c r="E283" i="1"/>
  <c r="I283" i="1" s="1"/>
  <c r="P283" i="1"/>
  <c r="S286" i="1"/>
  <c r="P286" i="1" s="1"/>
  <c r="E282" i="1"/>
  <c r="I282" i="1" s="1"/>
  <c r="F281" i="1"/>
  <c r="F277" i="1" s="1"/>
  <c r="H281" i="1"/>
  <c r="P282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P15" i="9" s="1"/>
  <c r="C15" i="9"/>
  <c r="B15" i="9"/>
  <c r="O14" i="9"/>
  <c r="N14" i="9"/>
  <c r="L14" i="9" s="1"/>
  <c r="M14" i="9" s="1"/>
  <c r="K14" i="9"/>
  <c r="H14" i="9" s="1"/>
  <c r="J14" i="9"/>
  <c r="G14" i="9"/>
  <c r="F14" i="9"/>
  <c r="R14" i="9" s="1"/>
  <c r="E14" i="9"/>
  <c r="R13" i="9"/>
  <c r="L13" i="9"/>
  <c r="H13" i="9"/>
  <c r="G13" i="9"/>
  <c r="E13" i="9" s="1"/>
  <c r="M13" i="9" s="1"/>
  <c r="C13" i="9"/>
  <c r="B13" i="9"/>
  <c r="O12" i="9"/>
  <c r="N12" i="9"/>
  <c r="L12" i="9"/>
  <c r="K12" i="9"/>
  <c r="J12" i="9"/>
  <c r="G12" i="9"/>
  <c r="F12" i="9"/>
  <c r="R12" i="9" s="1"/>
  <c r="O11" i="9"/>
  <c r="L11" i="9" s="1"/>
  <c r="N11" i="9"/>
  <c r="J11" i="9"/>
  <c r="G11" i="9"/>
  <c r="F11" i="9"/>
  <c r="R11" i="9" s="1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L8" i="9" s="1"/>
  <c r="K8" i="9"/>
  <c r="J8" i="9"/>
  <c r="F8" i="9"/>
  <c r="R7" i="9"/>
  <c r="L7" i="9"/>
  <c r="H7" i="9"/>
  <c r="G7" i="9"/>
  <c r="S7" i="9" s="1"/>
  <c r="C7" i="9"/>
  <c r="B7" i="9"/>
  <c r="O6" i="9"/>
  <c r="O5" i="9" s="1"/>
  <c r="O4" i="9" s="1"/>
  <c r="N6" i="9"/>
  <c r="L6" i="9" s="1"/>
  <c r="K6" i="9"/>
  <c r="J6" i="9"/>
  <c r="G6" i="9"/>
  <c r="F6" i="9"/>
  <c r="F5" i="9"/>
  <c r="N4" i="9"/>
  <c r="J4" i="9"/>
  <c r="F4" i="9"/>
  <c r="R8" i="9" l="1"/>
  <c r="E12" i="9"/>
  <c r="H12" i="9"/>
  <c r="S13" i="9"/>
  <c r="P13" i="9" s="1"/>
  <c r="M12" i="9"/>
  <c r="I14" i="9"/>
  <c r="L4" i="9"/>
  <c r="E10" i="9"/>
  <c r="Q286" i="1"/>
  <c r="E6" i="9"/>
  <c r="M6" i="9" s="1"/>
  <c r="E7" i="9"/>
  <c r="M7" i="9" s="1"/>
  <c r="G8" i="9"/>
  <c r="G5" i="9" s="1"/>
  <c r="M10" i="9"/>
  <c r="S284" i="1"/>
  <c r="P284" i="1" s="1"/>
  <c r="Q284" i="1" s="1"/>
  <c r="E284" i="1"/>
  <c r="I284" i="1" s="1"/>
  <c r="P16" i="9"/>
  <c r="S12" i="9"/>
  <c r="S6" i="9"/>
  <c r="H6" i="9"/>
  <c r="M283" i="1"/>
  <c r="K5" i="9"/>
  <c r="P9" i="9"/>
  <c r="Q283" i="1"/>
  <c r="S8" i="9"/>
  <c r="H8" i="9"/>
  <c r="I10" i="9"/>
  <c r="P10" i="9"/>
  <c r="Q10" i="9" s="1"/>
  <c r="E281" i="1"/>
  <c r="I281" i="1" s="1"/>
  <c r="Q282" i="1"/>
  <c r="M282" i="1"/>
  <c r="P14" i="9"/>
  <c r="Q14" i="9" s="1"/>
  <c r="S14" i="9"/>
  <c r="K11" i="9"/>
  <c r="H11" i="9" s="1"/>
  <c r="P7" i="9"/>
  <c r="Q7" i="9" s="1"/>
  <c r="R281" i="1"/>
  <c r="P281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11" i="1"/>
  <c r="O203" i="1" s="1"/>
  <c r="K211" i="1"/>
  <c r="K203" i="1" s="1"/>
  <c r="G223" i="1"/>
  <c r="E223" i="1" s="1"/>
  <c r="G222" i="1"/>
  <c r="E222" i="1" s="1"/>
  <c r="B223" i="1"/>
  <c r="B222" i="1"/>
  <c r="C223" i="1"/>
  <c r="C222" i="1"/>
  <c r="H222" i="1"/>
  <c r="L222" i="1"/>
  <c r="R222" i="1"/>
  <c r="H223" i="1"/>
  <c r="L223" i="1"/>
  <c r="R223" i="1"/>
  <c r="G221" i="1"/>
  <c r="S221" i="1" s="1"/>
  <c r="C221" i="1"/>
  <c r="B221" i="1"/>
  <c r="H221" i="1"/>
  <c r="L221" i="1"/>
  <c r="R221" i="1"/>
  <c r="I12" i="9" l="1"/>
  <c r="I6" i="9"/>
  <c r="I7" i="9"/>
  <c r="G4" i="9"/>
  <c r="E4" i="9" s="1"/>
  <c r="M4" i="9" s="1"/>
  <c r="E5" i="9"/>
  <c r="Q9" i="9"/>
  <c r="I9" i="9"/>
  <c r="S5" i="9"/>
  <c r="P8" i="9"/>
  <c r="Q8" i="9" s="1"/>
  <c r="P6" i="9"/>
  <c r="Q6" i="9" s="1"/>
  <c r="H5" i="9"/>
  <c r="P11" i="9"/>
  <c r="Q11" i="9" s="1"/>
  <c r="I223" i="1"/>
  <c r="M222" i="1"/>
  <c r="Q281" i="1"/>
  <c r="S11" i="9"/>
  <c r="K4" i="9"/>
  <c r="S223" i="1"/>
  <c r="P223" i="1" s="1"/>
  <c r="Q223" i="1" s="1"/>
  <c r="S222" i="1"/>
  <c r="P222" i="1" s="1"/>
  <c r="Q222" i="1" s="1"/>
  <c r="Q16" i="9"/>
  <c r="I8" i="9"/>
  <c r="I15" i="9"/>
  <c r="M15" i="9"/>
  <c r="R5" i="9"/>
  <c r="I16" i="9"/>
  <c r="I11" i="9"/>
  <c r="M11" i="9" s="1"/>
  <c r="I222" i="1"/>
  <c r="M223" i="1"/>
  <c r="E221" i="1"/>
  <c r="I221" i="1" s="1"/>
  <c r="P221" i="1"/>
  <c r="B233" i="1"/>
  <c r="B232" i="1"/>
  <c r="B231" i="1"/>
  <c r="G233" i="1"/>
  <c r="E233" i="1" s="1"/>
  <c r="G232" i="1"/>
  <c r="E232" i="1" s="1"/>
  <c r="G231" i="1"/>
  <c r="E231" i="1" s="1"/>
  <c r="G230" i="1"/>
  <c r="C233" i="1"/>
  <c r="C232" i="1"/>
  <c r="C231" i="1"/>
  <c r="C230" i="1"/>
  <c r="H231" i="1"/>
  <c r="L231" i="1"/>
  <c r="R231" i="1"/>
  <c r="H232" i="1"/>
  <c r="L232" i="1"/>
  <c r="R232" i="1"/>
  <c r="H233" i="1"/>
  <c r="L233" i="1"/>
  <c r="R233" i="1"/>
  <c r="R230" i="1"/>
  <c r="L230" i="1"/>
  <c r="H230" i="1"/>
  <c r="L228" i="1"/>
  <c r="H228" i="1"/>
  <c r="B220" i="1"/>
  <c r="B219" i="1"/>
  <c r="B218" i="1"/>
  <c r="B217" i="1"/>
  <c r="B216" i="1"/>
  <c r="B215" i="1"/>
  <c r="B214" i="1"/>
  <c r="B213" i="1"/>
  <c r="B212" i="1"/>
  <c r="G220" i="1"/>
  <c r="S220" i="1" s="1"/>
  <c r="G219" i="1"/>
  <c r="E219" i="1" s="1"/>
  <c r="G218" i="1"/>
  <c r="S218" i="1" s="1"/>
  <c r="G217" i="1"/>
  <c r="E217" i="1" s="1"/>
  <c r="G216" i="1"/>
  <c r="E216" i="1" s="1"/>
  <c r="G215" i="1"/>
  <c r="S215" i="1" s="1"/>
  <c r="G214" i="1"/>
  <c r="S214" i="1" s="1"/>
  <c r="G213" i="1"/>
  <c r="E213" i="1" s="1"/>
  <c r="G212" i="1"/>
  <c r="C220" i="1"/>
  <c r="H220" i="1"/>
  <c r="L220" i="1"/>
  <c r="R220" i="1"/>
  <c r="C219" i="1"/>
  <c r="C218" i="1"/>
  <c r="C217" i="1"/>
  <c r="C216" i="1"/>
  <c r="C215" i="1"/>
  <c r="C214" i="1"/>
  <c r="C213" i="1"/>
  <c r="C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H218" i="1"/>
  <c r="L218" i="1"/>
  <c r="R218" i="1"/>
  <c r="H219" i="1"/>
  <c r="L219" i="1"/>
  <c r="R219" i="1"/>
  <c r="R212" i="1"/>
  <c r="L212" i="1"/>
  <c r="H212" i="1"/>
  <c r="N211" i="1"/>
  <c r="J211" i="1"/>
  <c r="H211" i="1" s="1"/>
  <c r="F211" i="1"/>
  <c r="F204" i="1" s="1"/>
  <c r="F199" i="1" s="1"/>
  <c r="E199" i="1" s="1"/>
  <c r="H203" i="1"/>
  <c r="G207" i="1"/>
  <c r="E207" i="1" s="1"/>
  <c r="G206" i="1"/>
  <c r="E206" i="1" s="1"/>
  <c r="G205" i="1"/>
  <c r="H206" i="1"/>
  <c r="L206" i="1"/>
  <c r="R206" i="1"/>
  <c r="H207" i="1"/>
  <c r="L207" i="1"/>
  <c r="R207" i="1"/>
  <c r="R205" i="1"/>
  <c r="L205" i="1"/>
  <c r="H205" i="1"/>
  <c r="C207" i="1"/>
  <c r="C206" i="1"/>
  <c r="C205" i="1"/>
  <c r="B207" i="1"/>
  <c r="B206" i="1"/>
  <c r="B205" i="1"/>
  <c r="G129" i="1"/>
  <c r="C129" i="1"/>
  <c r="B129" i="1"/>
  <c r="R129" i="1"/>
  <c r="L129" i="1"/>
  <c r="H129" i="1"/>
  <c r="P5" i="9" l="1"/>
  <c r="Q5" i="9" s="1"/>
  <c r="G204" i="1"/>
  <c r="G229" i="1"/>
  <c r="S129" i="1"/>
  <c r="P129" i="1" s="1"/>
  <c r="I233" i="1"/>
  <c r="I231" i="1"/>
  <c r="E230" i="1"/>
  <c r="I230" i="1" s="1"/>
  <c r="S205" i="1"/>
  <c r="P205" i="1" s="1"/>
  <c r="H4" i="9"/>
  <c r="S4" i="9"/>
  <c r="G211" i="1"/>
  <c r="S211" i="1" s="1"/>
  <c r="S232" i="1"/>
  <c r="P232" i="1" s="1"/>
  <c r="Q232" i="1" s="1"/>
  <c r="S212" i="1"/>
  <c r="P212" i="1" s="1"/>
  <c r="S231" i="1"/>
  <c r="P231" i="1" s="1"/>
  <c r="Q231" i="1" s="1"/>
  <c r="M221" i="1"/>
  <c r="Q221" i="1"/>
  <c r="S230" i="1"/>
  <c r="P230" i="1" s="1"/>
  <c r="S233" i="1"/>
  <c r="P233" i="1" s="1"/>
  <c r="Q233" i="1" s="1"/>
  <c r="M231" i="1"/>
  <c r="M206" i="1"/>
  <c r="M232" i="1"/>
  <c r="I232" i="1"/>
  <c r="M233" i="1"/>
  <c r="E218" i="1"/>
  <c r="I218" i="1" s="1"/>
  <c r="S213" i="1"/>
  <c r="P213" i="1" s="1"/>
  <c r="Q213" i="1" s="1"/>
  <c r="R211" i="1"/>
  <c r="R204" i="1" s="1"/>
  <c r="S207" i="1"/>
  <c r="P207" i="1" s="1"/>
  <c r="Q207" i="1" s="1"/>
  <c r="S217" i="1"/>
  <c r="P217" i="1" s="1"/>
  <c r="Q217" i="1" s="1"/>
  <c r="I219" i="1"/>
  <c r="P220" i="1"/>
  <c r="M213" i="1"/>
  <c r="M217" i="1"/>
  <c r="E215" i="1"/>
  <c r="I215" i="1" s="1"/>
  <c r="S216" i="1"/>
  <c r="P216" i="1" s="1"/>
  <c r="Q216" i="1" s="1"/>
  <c r="M207" i="1"/>
  <c r="S206" i="1"/>
  <c r="P206" i="1" s="1"/>
  <c r="Q206" i="1" s="1"/>
  <c r="E220" i="1"/>
  <c r="M220" i="1" s="1"/>
  <c r="S219" i="1"/>
  <c r="P219" i="1" s="1"/>
  <c r="Q219" i="1" s="1"/>
  <c r="E214" i="1"/>
  <c r="M214" i="1" s="1"/>
  <c r="M219" i="1"/>
  <c r="P218" i="1"/>
  <c r="I217" i="1"/>
  <c r="M216" i="1"/>
  <c r="I216" i="1"/>
  <c r="P215" i="1"/>
  <c r="P214" i="1"/>
  <c r="I213" i="1"/>
  <c r="I207" i="1"/>
  <c r="J204" i="1"/>
  <c r="L211" i="1"/>
  <c r="E212" i="1"/>
  <c r="I212" i="1" s="1"/>
  <c r="N204" i="1"/>
  <c r="I206" i="1"/>
  <c r="E205" i="1"/>
  <c r="I205" i="1" s="1"/>
  <c r="E129" i="1"/>
  <c r="I129" i="1" s="1"/>
  <c r="J128" i="1"/>
  <c r="F128" i="1"/>
  <c r="N128" i="1"/>
  <c r="L204" i="1" l="1"/>
  <c r="N201" i="1"/>
  <c r="H204" i="1"/>
  <c r="J201" i="1"/>
  <c r="R201" i="1"/>
  <c r="P201" i="1" s="1"/>
  <c r="Q201" i="1" s="1"/>
  <c r="R199" i="1"/>
  <c r="R193" i="1" s="1"/>
  <c r="S229" i="1"/>
  <c r="P229" i="1" s="1"/>
  <c r="E229" i="1"/>
  <c r="I229" i="1" s="1"/>
  <c r="Q230" i="1"/>
  <c r="M230" i="1"/>
  <c r="S204" i="1"/>
  <c r="G203" i="1"/>
  <c r="M218" i="1"/>
  <c r="I4" i="9"/>
  <c r="P4" i="9"/>
  <c r="Q4" i="9" s="1"/>
  <c r="E211" i="1"/>
  <c r="I211" i="1" s="1"/>
  <c r="L203" i="1"/>
  <c r="Q218" i="1"/>
  <c r="M215" i="1"/>
  <c r="I220" i="1"/>
  <c r="Q215" i="1"/>
  <c r="Q220" i="1"/>
  <c r="M129" i="1"/>
  <c r="I214" i="1"/>
  <c r="P211" i="1"/>
  <c r="Q214" i="1"/>
  <c r="M212" i="1"/>
  <c r="Q212" i="1"/>
  <c r="Q205" i="1"/>
  <c r="M205" i="1"/>
  <c r="E204" i="1"/>
  <c r="I204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H201" i="1" l="1"/>
  <c r="I201" i="1" s="1"/>
  <c r="J199" i="1"/>
  <c r="L201" i="1"/>
  <c r="N199" i="1"/>
  <c r="L199" i="1" s="1"/>
  <c r="P193" i="1"/>
  <c r="Q193" i="1" s="1"/>
  <c r="R184" i="1"/>
  <c r="P184" i="1" s="1"/>
  <c r="Q184" i="1" s="1"/>
  <c r="T184" i="1" s="1"/>
  <c r="G101" i="1"/>
  <c r="G83" i="1"/>
  <c r="G128" i="1"/>
  <c r="Q229" i="1"/>
  <c r="S107" i="1"/>
  <c r="P107" i="1" s="1"/>
  <c r="Q107" i="1" s="1"/>
  <c r="E102" i="1"/>
  <c r="M102" i="1" s="1"/>
  <c r="E84" i="1"/>
  <c r="M84" i="1" s="1"/>
  <c r="Q211" i="1"/>
  <c r="T4" i="9"/>
  <c r="M95" i="1"/>
  <c r="S136" i="1"/>
  <c r="P136" i="1" s="1"/>
  <c r="Q136" i="1" s="1"/>
  <c r="P204" i="1"/>
  <c r="Q204" i="1" s="1"/>
  <c r="S203" i="1"/>
  <c r="P203" i="1" s="1"/>
  <c r="E203" i="1"/>
  <c r="I203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8" i="1"/>
  <c r="N277" i="1" s="1"/>
  <c r="O278" i="1"/>
  <c r="O277" i="1" s="1"/>
  <c r="J278" i="1"/>
  <c r="J277" i="1" s="1"/>
  <c r="K278" i="1"/>
  <c r="K277" i="1" s="1"/>
  <c r="F4" i="1"/>
  <c r="G280" i="1"/>
  <c r="S280" i="1" s="1"/>
  <c r="H280" i="1"/>
  <c r="L280" i="1"/>
  <c r="R280" i="1"/>
  <c r="G279" i="1"/>
  <c r="C280" i="1"/>
  <c r="C279" i="1"/>
  <c r="B280" i="1"/>
  <c r="B279" i="1"/>
  <c r="R279" i="1"/>
  <c r="L279" i="1"/>
  <c r="H279" i="1"/>
  <c r="R180" i="1" l="1"/>
  <c r="P180" i="1" s="1"/>
  <c r="Q180" i="1" s="1"/>
  <c r="T180" i="1" s="1"/>
  <c r="H236" i="1"/>
  <c r="I236" i="1" s="1"/>
  <c r="J4" i="1"/>
  <c r="N236" i="1"/>
  <c r="N224" i="1" s="1"/>
  <c r="L224" i="1" s="1"/>
  <c r="N4" i="1"/>
  <c r="R277" i="1"/>
  <c r="I102" i="1"/>
  <c r="I84" i="1"/>
  <c r="Q102" i="1"/>
  <c r="H277" i="1"/>
  <c r="R278" i="1"/>
  <c r="E83" i="1"/>
  <c r="I83" i="1" s="1"/>
  <c r="S83" i="1"/>
  <c r="P83" i="1" s="1"/>
  <c r="E101" i="1"/>
  <c r="I101" i="1" s="1"/>
  <c r="S101" i="1"/>
  <c r="P101" i="1" s="1"/>
  <c r="M203" i="1"/>
  <c r="Q203" i="1"/>
  <c r="T203" i="1" s="1"/>
  <c r="I130" i="1"/>
  <c r="P130" i="1"/>
  <c r="Q130" i="1" s="1"/>
  <c r="G278" i="1"/>
  <c r="G277" i="1" s="1"/>
  <c r="E279" i="1"/>
  <c r="I279" i="1" s="1"/>
  <c r="S279" i="1"/>
  <c r="L278" i="1"/>
  <c r="P84" i="1"/>
  <c r="Q84" i="1" s="1"/>
  <c r="P280" i="1"/>
  <c r="L277" i="1"/>
  <c r="E280" i="1"/>
  <c r="H278" i="1"/>
  <c r="C16" i="7"/>
  <c r="C15" i="7"/>
  <c r="C14" i="7"/>
  <c r="C13" i="7"/>
  <c r="C12" i="7"/>
  <c r="C11" i="7"/>
  <c r="C10" i="7"/>
  <c r="F4" i="7"/>
  <c r="R17" i="7"/>
  <c r="L17" i="7"/>
  <c r="H17" i="7"/>
  <c r="S17" i="7"/>
  <c r="C17" i="7"/>
  <c r="B17" i="7"/>
  <c r="P17" i="7" l="1"/>
  <c r="N226" i="1"/>
  <c r="L226" i="1" s="1"/>
  <c r="L236" i="1"/>
  <c r="H224" i="1"/>
  <c r="I224" i="1" s="1"/>
  <c r="P236" i="1"/>
  <c r="Q236" i="1" s="1"/>
  <c r="Q101" i="1"/>
  <c r="T101" i="1" s="1"/>
  <c r="Q83" i="1"/>
  <c r="T83" i="1" s="1"/>
  <c r="E277" i="1"/>
  <c r="I277" i="1" s="1"/>
  <c r="S278" i="1"/>
  <c r="P278" i="1" s="1"/>
  <c r="P279" i="1"/>
  <c r="Q279" i="1" s="1"/>
  <c r="E278" i="1"/>
  <c r="I278" i="1" s="1"/>
  <c r="M279" i="1"/>
  <c r="Q280" i="1"/>
  <c r="I280" i="1"/>
  <c r="M280" i="1"/>
  <c r="E17" i="7"/>
  <c r="R226" i="1" l="1"/>
  <c r="P226" i="1" s="1"/>
  <c r="Q226" i="1" s="1"/>
  <c r="H226" i="1"/>
  <c r="I226" i="1" s="1"/>
  <c r="P224" i="1"/>
  <c r="Q224" i="1" s="1"/>
  <c r="M277" i="1"/>
  <c r="S277" i="1"/>
  <c r="P277" i="1" s="1"/>
  <c r="Q277" i="1" s="1"/>
  <c r="T277" i="1" s="1"/>
  <c r="Q278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K5" i="1" s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4" i="1" l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3" i="1" l="1"/>
  <c r="S253" i="1" l="1"/>
  <c r="P253" i="1" s="1"/>
  <c r="G252" i="1"/>
  <c r="E253" i="1"/>
  <c r="I253" i="1" l="1"/>
  <c r="M253" i="1"/>
  <c r="E252" i="1"/>
  <c r="I252" i="1" s="1"/>
  <c r="S252" i="1"/>
  <c r="P252" i="1" s="1"/>
  <c r="Q253" i="1"/>
  <c r="Q252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50" i="1"/>
  <c r="E250" i="1" l="1"/>
  <c r="S250" i="1"/>
  <c r="P250" i="1" s="1"/>
  <c r="Q250" i="1" s="1"/>
  <c r="G247" i="1"/>
  <c r="S247" i="1" l="1"/>
  <c r="P247" i="1" s="1"/>
  <c r="E247" i="1"/>
  <c r="I247" i="1" s="1"/>
  <c r="G228" i="1"/>
  <c r="G4" i="1" s="1"/>
  <c r="I250" i="1"/>
  <c r="M250" i="1"/>
  <c r="E228" i="1" l="1"/>
  <c r="S228" i="1"/>
  <c r="P228" i="1" s="1"/>
  <c r="Q228" i="1" s="1"/>
  <c r="Q247" i="1"/>
  <c r="I228" i="1" l="1"/>
  <c r="T228" i="1" s="1"/>
  <c r="M228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<sst xmlns="http://schemas.openxmlformats.org/spreadsheetml/2006/main" count="559" uniqueCount="116">
  <si>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</si>
  <si>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</si>
  <si>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</si>
  <si>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</si>
  <si>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</si>
  <si>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</si>
  <si>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</si>
  <si>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</si>
  <si>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</si>
  <si>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</si>
  <si>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</si>
  <si>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</si>
  <si>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</si>
  <si>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</si>
  <si>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</si>
  <si>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</si>
  <si>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</si>
  <si>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</si>
  <si>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</si>
  <si>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</si>
  <si>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</si>
  <si>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</si>
  <si>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</si>
  <si>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</si>
  <si>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</si>
  <si>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</si>
  <si>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</si>
  <si>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</si>
  <si>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</si>
  <si>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</si>
  <si>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</si>
  <si>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</si>
  <si>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</si>
  <si>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</si>
  <si>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</si>
  <si>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</si>
  <si>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</si>
  <si>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</si>
  <si>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</si>
  <si>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</si>
  <si>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</si>
  <si>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</si>
  <si>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</si>
  <si>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</si>
  <si>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</si>
  <si>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</si>
  <si>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</si>
  <si>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</si>
  <si>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</si>
  <si>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</si>
  <si>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</si>
  <si>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</si>
  <si>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</si>
  <si>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</si>
  <si>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</si>
  <si>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</si>
  <si>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</si>
  <si>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</si>
  <si>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</si>
  <si>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</si>
  <si>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</si>
  <si>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</si>
  <si>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</si>
  <si>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</si>
  <si>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</si>
  <si>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</si>
  <si>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</si>
  <si>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</si>
  <si>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</si>
  <si>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</si>
  <si>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</si>
  <si>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</si>
  <si>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</si>
  <si>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</si>
  <si>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</si>
  <si>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</si>
  <si>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</si>
  <si>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</si>
  <si>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</si>
  <si>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</si>
  <si>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</si>
  <si>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</si>
  <si>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</si>
  <si>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</si>
  <si>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</si>
  <si>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</si>
  <si>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</si>
  <si>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</si>
  <si>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</si>
  <si>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</si>
  <si>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</si>
  <si>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</si>
  <si>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</si>
  <si>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</si>
  <si>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</si>
  <si>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</si>
  <si>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</si>
  <si>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</si>
  <si>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</si>
  <si>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</si>
  <si>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</si>
  <si>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</si>
  <si>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</si>
  <si>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</si>
  <si>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</si>
  <si>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โครงการอันเนื่องมาจากพระราชดำริ (01014)</t>
  </si>
  <si>
    <t>29 พค.60</t>
  </si>
  <si>
    <t>12 มิย.60</t>
  </si>
  <si>
    <t>รายงานผลการเบิกจ่าย เงินงบประมาณ 2560  สำนักงานชลประทานที่ 2  ข้อมูลถึงณ วันที่ 23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</si>
  <si>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23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</si>
  <si>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23  มิถุนายน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</si>
  <si>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23  มิถุนายน 2560</t>
  </si>
  <si>
    <t>รายงานผลการเบิกจ่าย   ปีงบประมาณ 2560  สำนักงานชลประทานที่ 2 ศูนย์ต้นทุน  0700300037    ข้อมูลถึงณ วันที่ 23  มิถุนายน  2560</t>
  </si>
  <si>
    <t>16มิย.60</t>
  </si>
  <si>
    <t>ค่าศึกษาวิเคราะห์ความปลอดภัยเขื่อน</t>
  </si>
  <si>
    <t>20 มิย.60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</si>
</sst>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wrapText="1"/>
    </xf>
    <xf numFmtId="43" fontId="3" fillId="8" borderId="5" xfId="1" applyFont="1" applyFill="1" applyBorder="1" applyAlignment="1">
      <alignment wrapText="1"/>
    </xf>
    <xf numFmtId="43" fontId="3" fillId="8" borderId="5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&#3623;&#3636;&#3648;&#3588;&#3619;&#3634;&#3632;&#3627;&#3660;&#3611;&#3621;&#3629;&#3604;&#3616;&#3633;&#3618;&#3648;&#3586;&#3639;&#3656;&#3629;&#36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01014\&#3650;&#3588;&#3619;&#3591;&#3585;&#3634;&#3619;&#3619;&#3634;&#3594;&#3604;&#3635;&#3619;&#36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3576400</v>
          </cell>
        </row>
        <row r="7">
          <cell r="I7" t="str">
            <v>0700338006410035</v>
          </cell>
          <cell r="J7">
            <v>2700000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ค่าศึกษาวิเคราะห์ปลอดภัยเขื่อน</v>
          </cell>
          <cell r="I5" t="str">
            <v>0700338006410004</v>
          </cell>
          <cell r="J5">
            <v>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โครงการอ่างเก็บน้ำห้วยต้อง อ.แม่พริก จ.ลำปาง</v>
          </cell>
          <cell r="I5" t="str">
            <v>909090101463</v>
          </cell>
          <cell r="J5">
            <v>879700</v>
          </cell>
        </row>
        <row r="6">
          <cell r="E6" t="str">
            <v>โครงการอ่างเก็บน้ำกห้วยน้ำม้า อ.เชียงของ จ.เชียงราย</v>
          </cell>
          <cell r="I6" t="str">
            <v>909090101462</v>
          </cell>
          <cell r="J6">
            <v>944300</v>
          </cell>
        </row>
        <row r="7">
          <cell r="E7" t="str">
    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    </cell>
          <cell r="I7" t="str">
            <v>909090101465</v>
          </cell>
          <cell r="J7">
            <v>207000</v>
          </cell>
        </row>
        <row r="8">
          <cell r="E8" t="str">
            <v>โครงการอ่างเก็บน้ำห้วยครึ่ง อ.เชียงของ จ.เชียงราย</v>
          </cell>
          <cell r="I8" t="str">
            <v>909090101477</v>
          </cell>
          <cell r="J8">
            <v>699000</v>
          </cell>
        </row>
        <row r="9">
          <cell r="E9" t="str">
            <v>โครงการฝายทุ่งกว๋าวพร้อมระบบส่งน้ำ อ.เมืองปาน จ.ลำปาง (โครงการพิเศษ)</v>
          </cell>
          <cell r="I9" t="str">
            <v>909090101474</v>
          </cell>
          <cell r="J9">
            <v>32002000</v>
          </cell>
        </row>
        <row r="10">
          <cell r="E10" t="str">
            <v>โครงการฝายทุ่งกว๋าวพร้อมระบบส่งน้ำ อ.เมืองปาน จ.ลำปาง (สชป.2)</v>
          </cell>
          <cell r="I10" t="str">
            <v>909090101474</v>
          </cell>
          <cell r="J10">
            <v>798000</v>
          </cell>
        </row>
        <row r="11">
          <cell r="E11" t="str">
            <v>โครงการอ่างเก็บน้ำห้วยหม้ออุ่งอันเนื่องมาจากพระราชดำริ อ.พาน จ.เชียงราย</v>
          </cell>
          <cell r="I11" t="str">
            <v>909090101476</v>
          </cell>
          <cell r="J11">
            <v>687500</v>
          </cell>
        </row>
        <row r="12">
          <cell r="E12" t="str">
            <v>โครงการสถานีสูบน้ำด้วยไฟฟ้าพร้อมระบบส่งน้ำบ้านทุ่งศรีเกิด อ.ขุนตาล จ.เชียงราย</v>
          </cell>
          <cell r="I12" t="str">
            <v>909090101494</v>
          </cell>
          <cell r="J12">
            <v>448800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09"/>
  <sheetViews>
    <sheetView tabSelected="1" topLeftCell="E1" zoomScale="115" zoomScaleNormal="115" workbookViewId="0">
      <pane ySplit="3" topLeftCell="A4" activePane="bottomLeft" state="frozen"/>
      <selection activeCell="O29" sqref="O29"/>
      <selection pane="bottomLeft" activeCell="K250" sqref="K250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67"/>
      <c r="D2" s="88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68"/>
      <c r="D3" s="89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176690073</v>
      </c>
      <c r="F4" s="5">
        <f>F5+F277</f>
        <v>62299900</v>
      </c>
      <c r="G4" s="5">
        <f>G5+G203+G228+G277+G292+G295</f>
        <v>114390173</v>
      </c>
      <c r="H4" s="5">
        <f t="shared" ref="H4:H7" si="1">J4+K4</f>
        <v>61592521.640000001</v>
      </c>
      <c r="I4" s="5">
        <f>H4*100/E4</f>
        <v>34.85907306178995</v>
      </c>
      <c r="J4" s="5">
        <f>J5+J277</f>
        <v>1760050</v>
      </c>
      <c r="K4" s="5">
        <f>K5+K203+K228+K277+K292+K295</f>
        <v>59832471.640000001</v>
      </c>
      <c r="L4" s="5">
        <f>N4+O4</f>
        <v>0</v>
      </c>
      <c r="M4" s="5">
        <f>L4*100/E4</f>
        <v>0</v>
      </c>
      <c r="N4" s="5">
        <f>N5+N277</f>
        <v>0</v>
      </c>
      <c r="O4" s="5">
        <f>O5+O203+O228+O277+O292+O295</f>
        <v>0</v>
      </c>
      <c r="P4" s="5">
        <f>E4-H4-L4</f>
        <v>115097551.36</v>
      </c>
      <c r="Q4" s="5">
        <f>P4*100/E4</f>
        <v>65.140926938210043</v>
      </c>
      <c r="R4" s="5">
        <f t="shared" ref="R4:S7" si="2">F4-J4-N4</f>
        <v>60539850</v>
      </c>
      <c r="S4" s="5">
        <f>G4-K4-O4</f>
        <v>54557701.359999999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31101403</v>
      </c>
      <c r="F5" s="52">
        <f>F6</f>
        <v>454000</v>
      </c>
      <c r="G5" s="51">
        <f>G6+G7+G8+G11+G69+G83+G101+G128+G180+G184+G193+G199+G201</f>
        <v>30647403</v>
      </c>
      <c r="H5" s="52">
        <f>J5+K5</f>
        <v>27102975.820000004</v>
      </c>
      <c r="I5" s="52">
        <f>H5*100/E5</f>
        <v>87.143900935915994</v>
      </c>
      <c r="J5" s="52">
        <f>J6</f>
        <v>453850</v>
      </c>
      <c r="K5" s="52">
        <f>K6+K7+K8+K11+K69+K83+K101+K128+K180+K184+K193+K199+K201</f>
        <v>26649125.820000004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3998427.179999996</v>
      </c>
      <c r="Q5" s="51">
        <f>P5*100/E5</f>
        <v>12.85609906408401</v>
      </c>
      <c r="R5" s="52">
        <f>F5-J5-N5</f>
        <v>150</v>
      </c>
      <c r="S5" s="52">
        <f>G5-K5-O5</f>
        <v>3998277.179999996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642126.74</v>
      </c>
      <c r="I7" s="7">
        <f t="shared" ref="I7" si="12">H7*100/E7</f>
        <v>64.212674000000007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5865.35+11731.7+3031.4+11731.7+4547.1+7998.75+3726+9606+25047.1+4719.9+9280+10665+7200+16192+26047.1+25756+4640+19352+12264.55+4372+4640+45185.03+5120+5715+51062.8+3482+50000+3482+44290.51+10665+9204+49027.1+17840+13106+12264.55+25900+51547.1+3840+11982</f>
        <v>642126.74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357873.26</v>
      </c>
      <c r="Q7" s="7">
        <f t="shared" ref="Q7" si="16">P7*100/E7</f>
        <v>35.787326</v>
      </c>
      <c r="R7" s="7">
        <f t="shared" si="2"/>
        <v>0</v>
      </c>
      <c r="S7" s="7">
        <f t="shared" si="2"/>
        <v>357873.26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144131.60000000003</v>
      </c>
      <c r="I8" s="49">
        <f>H8*100/E8</f>
        <v>99.81412742382274</v>
      </c>
      <c r="J8" s="49">
        <f>SUM(J9:J10)</f>
        <v>0</v>
      </c>
      <c r="K8" s="49">
        <f>SUM(K9:K10)</f>
        <v>144131.60000000003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268.39999999996508</v>
      </c>
      <c r="Q8" s="49">
        <f t="shared" ref="Q8:Q11" si="17">P8*100/E8</f>
        <v>0.18587257617726113</v>
      </c>
      <c r="R8" s="49">
        <f>SUM(R9:R10)</f>
        <v>0</v>
      </c>
      <c r="S8" s="49">
        <f>G8-K8-O8</f>
        <v>268.39999999996508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111424.60000000002</v>
      </c>
      <c r="I9" s="7">
        <f t="shared" ref="I9" si="19">H9*100/E9</f>
        <v>99.842831541218658</v>
      </c>
      <c r="J9" s="7">
        <v>0</v>
      </c>
      <c r="K9" s="7">
        <f>3660+6309+6309+5005.4+6309+6356.3+700+34510+12618+6309+8008.1+2551.8+11499+1280</f>
        <v>111424.60000000002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175.39999999997963</v>
      </c>
      <c r="Q9" s="7">
        <f t="shared" ref="Q9" si="23">P9*100/E9</f>
        <v>0.15716845878134375</v>
      </c>
      <c r="R9" s="7">
        <f t="shared" ref="R9" si="24">F9-J9-N9</f>
        <v>0</v>
      </c>
      <c r="S9" s="7">
        <f t="shared" ref="S9" si="25">G9-K9-O9</f>
        <v>175.39999999997963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2401452.9800000004</v>
      </c>
      <c r="I11" s="49">
        <f>H11*100/E11</f>
        <v>96.07733466693341</v>
      </c>
      <c r="J11" s="49">
        <f>SUM(J12:J17)</f>
        <v>0</v>
      </c>
      <c r="K11" s="49">
        <f>SUM(K12:K68)</f>
        <v>2401452.9800000004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98047.019999999553</v>
      </c>
      <c r="Q11" s="49">
        <f t="shared" si="17"/>
        <v>3.9226653330665955</v>
      </c>
      <c r="R11" s="49">
        <f>SUM(R12:R17)</f>
        <v>0</v>
      </c>
      <c r="S11" s="49">
        <f>G11-K11-O11</f>
        <v>98047.019999999553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76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71977</v>
      </c>
      <c r="I18" s="7">
        <f t="shared" ref="I18" si="52">H18*100/E18</f>
        <v>99.968055555555551</v>
      </c>
      <c r="J18" s="7">
        <v>0</v>
      </c>
      <c r="K18" s="7">
        <f>14115+9200+7900+6202+4640+9840+3120+13600+3360</f>
        <v>71977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23</v>
      </c>
      <c r="Q18" s="7">
        <f t="shared" ref="Q18" si="56">P18*100/E18</f>
        <v>3.1944444444444442E-2</v>
      </c>
      <c r="R18" s="7">
        <f t="shared" ref="R18" si="57">F18-J18-N18</f>
        <v>0</v>
      </c>
      <c r="S18" s="7">
        <f t="shared" ref="S18" si="58">G18-K18-O18</f>
        <v>23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16235.5</v>
      </c>
      <c r="I34" s="7">
        <f t="shared" si="70"/>
        <v>98.396969696969691</v>
      </c>
      <c r="J34" s="7">
        <v>0</v>
      </c>
      <c r="K34" s="7">
        <f>4431+480+6940.9+3903.6+480</f>
        <v>16235.5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264.5</v>
      </c>
      <c r="Q34" s="7">
        <f t="shared" si="74"/>
        <v>1.603030303030303</v>
      </c>
      <c r="R34" s="7">
        <f t="shared" si="75"/>
        <v>0</v>
      </c>
      <c r="S34" s="7">
        <f t="shared" si="76"/>
        <v>264.5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155431.20000000001</v>
      </c>
      <c r="I62" s="7">
        <f t="shared" ref="I62" si="88">H62*100/E62</f>
        <v>99.635384615384623</v>
      </c>
      <c r="J62" s="7">
        <v>0</v>
      </c>
      <c r="K62" s="7">
        <f>6200+21840+88326+20625.2+6480+4640+2320+5000</f>
        <v>155431.20000000001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568.79999999998836</v>
      </c>
      <c r="Q62" s="7">
        <f t="shared" ref="Q62" si="92">P62*100/E62</f>
        <v>0.36461538461537718</v>
      </c>
      <c r="R62" s="7">
        <f t="shared" ref="R62" si="93">F62-J62-N62</f>
        <v>0</v>
      </c>
      <c r="S62" s="7">
        <f t="shared" ref="S62" si="94">G62-K62-O62</f>
        <v>568.79999999998836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120992.1</v>
      </c>
      <c r="I63" s="7">
        <f t="shared" ref="I63:I65" si="97">H63*100/E63</f>
        <v>99.993471074380167</v>
      </c>
      <c r="J63" s="7">
        <v>0</v>
      </c>
      <c r="K63" s="7">
        <f>1976+17600+63090+21526.1+13200+3600</f>
        <v>120992.1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7.8999999999941792</v>
      </c>
      <c r="Q63" s="7">
        <f t="shared" ref="Q63:Q65" si="101">P63*100/E63</f>
        <v>6.5289256198299006E-3</v>
      </c>
      <c r="R63" s="7">
        <f t="shared" ref="R63:R65" si="102">F63-J63-N63</f>
        <v>0</v>
      </c>
      <c r="S63" s="7">
        <f t="shared" ref="S63:S65" si="103">G63-K63-O63</f>
        <v>7.8999999999941792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90654.18</v>
      </c>
      <c r="I64" s="7">
        <f t="shared" si="97"/>
        <v>81.89176151761518</v>
      </c>
      <c r="J64" s="7">
        <v>0</v>
      </c>
      <c r="K64" s="7">
        <f>24435+5964.18+7375+18080+13200+21600</f>
        <v>90654.18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20045.820000000007</v>
      </c>
      <c r="Q64" s="7">
        <f t="shared" si="101"/>
        <v>18.108238482384831</v>
      </c>
      <c r="R64" s="7">
        <f t="shared" si="102"/>
        <v>0</v>
      </c>
      <c r="S64" s="7">
        <f t="shared" si="103"/>
        <v>20045.820000000007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73172.62</v>
      </c>
      <c r="I65" s="7">
        <f t="shared" si="97"/>
        <v>55.058404815650867</v>
      </c>
      <c r="J65" s="7">
        <v>0</v>
      </c>
      <c r="K65" s="7">
        <f>10527.62+11360+35365+8240+7680</f>
        <v>73172.62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59727.380000000005</v>
      </c>
      <c r="Q65" s="7">
        <f t="shared" si="101"/>
        <v>44.941595184349133</v>
      </c>
      <c r="R65" s="7">
        <f t="shared" si="102"/>
        <v>0</v>
      </c>
      <c r="S65" s="7">
        <f t="shared" si="103"/>
        <v>59727.380000000005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77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81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96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52245</v>
      </c>
      <c r="I68" s="7">
        <f t="shared" si="115"/>
        <v>99.51428571428572</v>
      </c>
      <c r="J68" s="7">
        <v>0</v>
      </c>
      <c r="K68" s="7">
        <f>1040+4320+39450+7435</f>
        <v>52245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255</v>
      </c>
      <c r="Q68" s="7">
        <f t="shared" si="119"/>
        <v>0.48571428571428571</v>
      </c>
      <c r="R68" s="7">
        <f t="shared" si="120"/>
        <v>0</v>
      </c>
      <c r="S68" s="7">
        <f t="shared" si="121"/>
        <v>255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10046000.000000002</v>
      </c>
      <c r="I69" s="49">
        <f>H69*100/E69</f>
        <v>93.975678203928922</v>
      </c>
      <c r="J69" s="49">
        <f>SUM(J70:J75)</f>
        <v>0</v>
      </c>
      <c r="K69" s="49">
        <f>SUM(K70:K82)</f>
        <v>10046000.000000002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643999.99999999814</v>
      </c>
      <c r="Q69" s="49">
        <f t="shared" si="47"/>
        <v>6.0243217960710771</v>
      </c>
      <c r="R69" s="49">
        <f>SUM(R70:R75)</f>
        <v>0</v>
      </c>
      <c r="S69" s="49">
        <f>G69-K69-O69</f>
        <v>643999.99999999814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861126.19999999984</v>
      </c>
      <c r="I70" s="7">
        <f t="shared" ref="I70" si="124">H70*100/E70</f>
        <v>94.629252747252735</v>
      </c>
      <c r="J70" s="7">
        <v>0</v>
      </c>
      <c r="K70" s="7">
        <f>113870+72362+46520+90598+64428+95400+2080+94840+11987.1+56781+56781+7407.2+50794.45+2320+44163+50794.45</f>
        <v>861126.19999999984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48873.800000000163</v>
      </c>
      <c r="Q70" s="7">
        <f t="shared" ref="Q70" si="128">P70*100/E70</f>
        <v>5.3707472527472708</v>
      </c>
      <c r="R70" s="7">
        <f t="shared" ref="R70" si="129">F70-J70-N70</f>
        <v>0</v>
      </c>
      <c r="S70" s="7">
        <f t="shared" ref="S70" si="130">G70-K70-O70</f>
        <v>48873.800000000163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478991.6</v>
      </c>
      <c r="I71" s="7">
        <f t="shared" ref="I71:I82" si="133">H71*100/E71</f>
        <v>95.798320000000004</v>
      </c>
      <c r="J71" s="7">
        <v>0</v>
      </c>
      <c r="K71" s="7">
        <f>55690+28560+44676+96810+28693+45559.8+24948+11987.1+25236+25236+11110.8+29025.4+11710.8+25236+14512.7</f>
        <v>478991.6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21008.400000000023</v>
      </c>
      <c r="Q71" s="7">
        <f t="shared" ref="Q71:Q84" si="137">P71*100/E71</f>
        <v>4.201680000000005</v>
      </c>
      <c r="R71" s="7">
        <f t="shared" ref="R71:R82" si="138">F71-J71-N71</f>
        <v>0</v>
      </c>
      <c r="S71" s="7">
        <f t="shared" ref="S71:S82" si="139">G71-K71-O71</f>
        <v>21008.400000000023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397700.3</v>
      </c>
      <c r="I72" s="7">
        <f t="shared" si="133"/>
        <v>79.540059999999997</v>
      </c>
      <c r="J72" s="7">
        <v>0</v>
      </c>
      <c r="K72" s="7">
        <f>55690+96810+28560+72744+45316.8+25035+11987.1+32532+29025.4</f>
        <v>397700.3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102299.70000000001</v>
      </c>
      <c r="Q72" s="7">
        <f t="shared" si="137"/>
        <v>20.459940000000003</v>
      </c>
      <c r="R72" s="7">
        <f t="shared" si="138"/>
        <v>0</v>
      </c>
      <c r="S72" s="7">
        <f t="shared" si="139"/>
        <v>102299.70000000001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844776.54999999993</v>
      </c>
      <c r="I73" s="7">
        <f t="shared" si="133"/>
        <v>93.864061111111113</v>
      </c>
      <c r="J73" s="7">
        <v>0</v>
      </c>
      <c r="K73" s="7">
        <f>44150+90000+57823+83658+80995.2+95648+19620+25035+11987.1+30982+44163+44163+25925.2+6390+50794.45+7256.35+31228.8+44163+50794.45</f>
        <v>844776.54999999993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55223.45000000007</v>
      </c>
      <c r="Q73" s="7">
        <f t="shared" si="137"/>
        <v>6.135938888888897</v>
      </c>
      <c r="R73" s="7">
        <f t="shared" si="138"/>
        <v>0</v>
      </c>
      <c r="S73" s="7">
        <f t="shared" si="139"/>
        <v>55223.45000000007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876378.89999999991</v>
      </c>
      <c r="I74" s="7">
        <f t="shared" si="133"/>
        <v>95.258576086956509</v>
      </c>
      <c r="J74" s="7">
        <v>0</v>
      </c>
      <c r="K74" s="7">
        <f>86295+99556.6+33440+97720+98796+87363+50400+24910+11987.1+37854+5392+37854+22221.6+43538.1+23421.6+37854+34237.8+43538.1</f>
        <v>876378.89999999991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43621.100000000093</v>
      </c>
      <c r="Q74" s="7">
        <f t="shared" si="137"/>
        <v>4.7414239130434881</v>
      </c>
      <c r="R74" s="7">
        <f t="shared" si="138"/>
        <v>0</v>
      </c>
      <c r="S74" s="7">
        <f t="shared" si="139"/>
        <v>43621.100000000093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873522.29999999981</v>
      </c>
      <c r="I75" s="7">
        <f t="shared" si="133"/>
        <v>94.948076086956505</v>
      </c>
      <c r="J75" s="7">
        <v>0</v>
      </c>
      <c r="K75" s="7">
        <f>86295+87363+98796+86159+95401+99556.6+25040+11987.1+37854+37854+22221.6+43538.1+23421.6+37854+36643.2+43538.1</f>
        <v>873522.29999999981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46477.700000000186</v>
      </c>
      <c r="Q75" s="7">
        <f t="shared" si="137"/>
        <v>5.0519239130434981</v>
      </c>
      <c r="R75" s="7">
        <f t="shared" si="138"/>
        <v>0</v>
      </c>
      <c r="S75" s="7">
        <f t="shared" si="139"/>
        <v>46477.700000000186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879975.65</v>
      </c>
      <c r="I76" s="7">
        <f t="shared" si="133"/>
        <v>95.649527173913043</v>
      </c>
      <c r="J76" s="7">
        <v>0</v>
      </c>
      <c r="K76" s="7">
        <f>86295+30205+95401+87363+99025.6+86159+98796+11987.1+37854+37854+6480+22221.6+58050.8+3120+31228.8+31545+12618+36281.75+2850+4640</f>
        <v>879975.65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40024.349999999977</v>
      </c>
      <c r="Q76" s="7">
        <f t="shared" si="137"/>
        <v>4.3504728260869543</v>
      </c>
      <c r="R76" s="7">
        <f t="shared" si="138"/>
        <v>0</v>
      </c>
      <c r="S76" s="7">
        <f t="shared" si="139"/>
        <v>40024.349999999977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917152.15</v>
      </c>
      <c r="I77" s="7">
        <f t="shared" si="133"/>
        <v>95.536682291666665</v>
      </c>
      <c r="J77" s="7">
        <v>0</v>
      </c>
      <c r="K77" s="7">
        <f>159834.75+71250+99710+99085+90920+83920+34940+11987.1+38502+38502+18518+44282.65+21518+38502+19318+2080+44282.65</f>
        <v>917152.15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42847.849999999977</v>
      </c>
      <c r="Q77" s="7">
        <f t="shared" si="137"/>
        <v>4.4633177083333315</v>
      </c>
      <c r="R77" s="7">
        <f t="shared" si="138"/>
        <v>0</v>
      </c>
      <c r="S77" s="7">
        <f t="shared" si="139"/>
        <v>42847.849999999977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879077.49999999988</v>
      </c>
      <c r="I78" s="7">
        <f t="shared" si="133"/>
        <v>91.570572916666649</v>
      </c>
      <c r="J78" s="7">
        <v>0</v>
      </c>
      <c r="K78" s="7">
        <f>159834.75+34940+71250+83920+90920+99085+99710+11987.1+37854+37854+13816.2+43538.1+23421.6+31545+36281.75+3120</f>
        <v>879077.49999999988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80922.500000000116</v>
      </c>
      <c r="Q78" s="7">
        <f t="shared" si="137"/>
        <v>8.4294270833333442</v>
      </c>
      <c r="R78" s="7">
        <f t="shared" si="138"/>
        <v>0</v>
      </c>
      <c r="S78" s="7">
        <f t="shared" si="139"/>
        <v>80922.500000000116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917934.84999999986</v>
      </c>
      <c r="I79" s="7">
        <f t="shared" si="133"/>
        <v>95.618213541666648</v>
      </c>
      <c r="J79" s="7">
        <v>0</v>
      </c>
      <c r="K79" s="7">
        <f>159834.75+91860+99225+83920+71250+22295+34830+78050+11987.1+44163+44163+3703.6+22221.6+43538.1+23421.6+37854+43538.1+2080</f>
        <v>917934.84999999986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42065.15000000014</v>
      </c>
      <c r="Q79" s="7">
        <f t="shared" si="137"/>
        <v>4.3817864583333481</v>
      </c>
      <c r="R79" s="7">
        <f t="shared" si="138"/>
        <v>0</v>
      </c>
      <c r="S79" s="7">
        <f t="shared" si="139"/>
        <v>42065.15000000014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904660.54999999993</v>
      </c>
      <c r="I80" s="7">
        <f t="shared" si="133"/>
        <v>94.23547395833333</v>
      </c>
      <c r="J80" s="7">
        <v>0</v>
      </c>
      <c r="K80" s="7">
        <f>159834.75+83920+99225+91860+78050+71250+22295+34350+11987.1+37854+37854+14814.4+43538.1+7256.35+15614.4+37854+6309+50794.45</f>
        <v>904660.54999999993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55339.45000000007</v>
      </c>
      <c r="Q80" s="7">
        <f t="shared" si="137"/>
        <v>5.7645260416666746</v>
      </c>
      <c r="R80" s="7">
        <f t="shared" si="138"/>
        <v>0</v>
      </c>
      <c r="S80" s="7">
        <f t="shared" si="139"/>
        <v>55339.45000000007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845376.89999999991</v>
      </c>
      <c r="I81" s="7">
        <f t="shared" si="133"/>
        <v>92.898560439560427</v>
      </c>
      <c r="J81" s="7">
        <v>0</v>
      </c>
      <c r="K81" s="7">
        <f>30205+132047.25+71177+62000+98840+73500+78884.8+20580+11987.1+6309+37854+6309+37854+22221.6+50794.45+23421.6+6309+31545+7256.35+36281.75</f>
        <v>845376.89999999991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64623.100000000093</v>
      </c>
      <c r="Q81" s="7">
        <f t="shared" si="137"/>
        <v>7.1014395604395704</v>
      </c>
      <c r="R81" s="7">
        <f t="shared" si="138"/>
        <v>0</v>
      </c>
      <c r="S81" s="7">
        <f t="shared" si="139"/>
        <v>64623.100000000093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764702</v>
      </c>
      <c r="I83" s="49">
        <f>H83*100/E83</f>
        <v>93.427244960293223</v>
      </c>
      <c r="J83" s="49">
        <f>SUM(J84:J89)</f>
        <v>0</v>
      </c>
      <c r="K83" s="49">
        <f>SUM(K84:K100)</f>
        <v>764702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53798</v>
      </c>
      <c r="Q83" s="49">
        <f t="shared" si="137"/>
        <v>6.5727550397067809</v>
      </c>
      <c r="R83" s="49">
        <f>SUM(R84:R89)</f>
        <v>0</v>
      </c>
      <c r="S83" s="49">
        <f>G83-K83-O83</f>
        <v>53798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52989.8</v>
      </c>
      <c r="I86" s="7">
        <f t="shared" si="149"/>
        <v>99.980754716981139</v>
      </c>
      <c r="J86" s="7">
        <v>0</v>
      </c>
      <c r="K86" s="7">
        <f>12734+13881.8+20018+6116+240</f>
        <v>52989.8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10.19999999999709</v>
      </c>
      <c r="Q86" s="7">
        <f t="shared" si="153"/>
        <v>1.9245283018862434E-2</v>
      </c>
      <c r="R86" s="7">
        <f t="shared" si="154"/>
        <v>0</v>
      </c>
      <c r="S86" s="7">
        <f t="shared" si="155"/>
        <v>10.19999999999709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167874.55</v>
      </c>
      <c r="I99" s="7">
        <f t="shared" ref="I99" si="176">H99*100/E99</f>
        <v>76.306613636363636</v>
      </c>
      <c r="J99" s="7">
        <v>0</v>
      </c>
      <c r="K99" s="7">
        <f>10025+18927+5463+6240+7520+5126+6378+18927+2970+21769.05+6240+4640+5610+18927+6240+3528+2350+5347+6887+4520.5+240</f>
        <v>167874.55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52125.450000000012</v>
      </c>
      <c r="Q99" s="7">
        <f t="shared" ref="Q99" si="180">P99*100/E99</f>
        <v>23.693386363636368</v>
      </c>
      <c r="R99" s="7">
        <f t="shared" ref="R99" si="181">F99-J99-N99</f>
        <v>0</v>
      </c>
      <c r="S99" s="7">
        <f t="shared" ref="S99" si="182">G99-K99-O99</f>
        <v>52125.450000000012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1006252.8999999999</v>
      </c>
      <c r="I101" s="49">
        <f>H101*100/E101</f>
        <v>99.240586102117149</v>
      </c>
      <c r="J101" s="49">
        <f>SUM(J102:J107)</f>
        <v>0</v>
      </c>
      <c r="K101" s="49">
        <f>SUM(K102:K127)</f>
        <v>1006252.8999999999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7700.1000000000931</v>
      </c>
      <c r="Q101" s="49">
        <f t="shared" si="162"/>
        <v>0.75941389788284985</v>
      </c>
      <c r="R101" s="49">
        <f>SUM(R102:R107)</f>
        <v>0</v>
      </c>
      <c r="S101" s="49">
        <f>G101-K101-O101</f>
        <v>7700.1000000000931</v>
      </c>
      <c r="T101" s="26">
        <f>I101+M101+Q101</f>
        <v>100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84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105584</v>
      </c>
      <c r="I125" s="7">
        <f t="shared" ref="I125:I127" si="228">H125*100/E125</f>
        <v>97.58856857652529</v>
      </c>
      <c r="J125" s="7">
        <v>0</v>
      </c>
      <c r="K125" s="7">
        <f>48359+24935+14960+3120+5920+8050+240</f>
        <v>105584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2609</v>
      </c>
      <c r="Q125" s="7">
        <f t="shared" ref="Q125:Q127" si="232">P125*100/E125</f>
        <v>2.4114314234747165</v>
      </c>
      <c r="R125" s="7">
        <f t="shared" ref="R125:R127" si="233">F125-J125-N125</f>
        <v>0</v>
      </c>
      <c r="S125" s="7">
        <f t="shared" ref="S125:S127" si="234">G125-K125-O125</f>
        <v>2609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84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84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537717.10000000009</v>
      </c>
      <c r="I128" s="49">
        <f>H128*100/E128</f>
        <v>74.64146307606886</v>
      </c>
      <c r="J128" s="49">
        <f>SUM(J130:J136)</f>
        <v>0</v>
      </c>
      <c r="K128" s="49">
        <f>SUM(K129:K179)</f>
        <v>537717.10000000009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182682.89999999991</v>
      </c>
      <c r="Q128" s="49">
        <f t="shared" si="205"/>
        <v>25.35853692393114</v>
      </c>
      <c r="R128" s="49">
        <f>SUM(R130:R134)</f>
        <v>0</v>
      </c>
      <c r="S128" s="49">
        <f>G128-K128-O128</f>
        <v>182682.89999999991</v>
      </c>
      <c r="T128" s="26">
        <f>I128+M128+Q128</f>
        <v>100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82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82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82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82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82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4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82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82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82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82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82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82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82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82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82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82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82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82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82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82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82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82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82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82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82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82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82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82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82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82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82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82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82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82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82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82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82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82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82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82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82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82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82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73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180642.40000000002</v>
      </c>
      <c r="I179" s="7">
        <f t="shared" ref="I179" si="280">H179*100/E179</f>
        <v>50.053311166528133</v>
      </c>
      <c r="J179" s="7">
        <v>0</v>
      </c>
      <c r="K179" s="7">
        <f>12618+10360+4640+12618+27720+10232+5957+6145+2320+7020+2800+14512.7+30020+18927+14512.7+240</f>
        <v>180642.40000000002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180257.59999999998</v>
      </c>
      <c r="Q179" s="7">
        <f t="shared" ref="Q179" si="284">P179*100/E179</f>
        <v>49.946688833471867</v>
      </c>
      <c r="R179" s="7">
        <f t="shared" ref="R179" si="285">F179-J179-N179</f>
        <v>0</v>
      </c>
      <c r="S179" s="7">
        <f t="shared" ref="S179" si="286">G179-K179-O179</f>
        <v>180257.59999999998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8501400</v>
      </c>
      <c r="F180" s="49">
        <f>SUM(F182:F183)</f>
        <v>0</v>
      </c>
      <c r="G180" s="49">
        <f>SUM(G181:G183)</f>
        <v>8501400</v>
      </c>
      <c r="H180" s="49">
        <f>J180+K180</f>
        <v>6366877.9499999993</v>
      </c>
      <c r="I180" s="49">
        <f>H180*100/E180</f>
        <v>74.892111299315388</v>
      </c>
      <c r="J180" s="49">
        <f>SUM(J181:J182)</f>
        <v>0</v>
      </c>
      <c r="K180" s="49">
        <f>SUM(K181:K183)</f>
        <v>6366877.9499999993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2134522.0500000007</v>
      </c>
      <c r="Q180" s="49">
        <f t="shared" si="257"/>
        <v>25.107888700684601</v>
      </c>
      <c r="R180" s="49">
        <f>SUM(R182:R207)</f>
        <v>0</v>
      </c>
      <c r="S180" s="49">
        <f>G180-K180-O180</f>
        <v>2134522.0500000007</v>
      </c>
      <c r="T180" s="26">
        <f>I180+M180+Q180</f>
        <v>99.999999999999986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1678621.7799999996</v>
      </c>
      <c r="I181" s="7">
        <f t="shared" ref="I181" si="289">H181*100/E181</f>
        <v>75.443675505617961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+7130.1+10306+3244+1636.03+78828.15+13200+45166.8+4703.15+3840+3600+16870+2320</f>
        <v>1678621.7799999996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546378.22000000044</v>
      </c>
      <c r="Q181" s="7">
        <f t="shared" ref="Q181" si="293">P181*100/E181</f>
        <v>24.556324494382043</v>
      </c>
      <c r="R181" s="7">
        <f t="shared" ref="R181" si="294">F181-J181-N181</f>
        <v>0</v>
      </c>
      <c r="S181" s="7">
        <f t="shared" ref="S181" si="295">G181-K181-O181</f>
        <v>546378.22000000044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3576400</v>
      </c>
      <c r="F182" s="7">
        <v>0</v>
      </c>
      <c r="G182" s="8">
        <f>[18]รายการสรุป!$J$6</f>
        <v>3576400</v>
      </c>
      <c r="H182" s="7">
        <f t="shared" ref="H182" si="297">J182+K182</f>
        <v>2541189.5699999998</v>
      </c>
      <c r="I182" s="7">
        <f t="shared" ref="I182" si="298">H182*100/E182</f>
        <v>71.054400234873043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+10500+4680+4940+3194+147045.2+4258+17260+34650+4860+13440</f>
        <v>2541189.5699999998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1035210.4300000002</v>
      </c>
      <c r="Q182" s="7">
        <f t="shared" ref="Q182:Q185" si="302">P182*100/E182</f>
        <v>28.945599765126946</v>
      </c>
      <c r="R182" s="7">
        <f t="shared" ref="R182" si="303">F182-J182-N182</f>
        <v>0</v>
      </c>
      <c r="S182" s="7">
        <f t="shared" ref="S182" si="304">G182-K182-O182</f>
        <v>1035210.4300000002</v>
      </c>
    </row>
    <row r="183" spans="1:20" ht="30" customHeight="1" x14ac:dyDescent="0.5">
      <c r="A183" s="15">
        <v>169</v>
      </c>
      <c r="B183" s="53" t="s">
        <v>83</v>
      </c>
      <c r="C183" s="24" t="str">
        <f>[18]รายการสรุป!$I$7</f>
        <v>0700338006410035</v>
      </c>
      <c r="D183" s="6" t="s">
        <v>84</v>
      </c>
      <c r="E183" s="7">
        <f t="shared" ref="E183" si="305">F183+G183</f>
        <v>2700000</v>
      </c>
      <c r="F183" s="7">
        <v>0</v>
      </c>
      <c r="G183" s="8">
        <f>[18]รายการสรุป!$J$7</f>
        <v>2700000</v>
      </c>
      <c r="H183" s="7">
        <f t="shared" ref="H183" si="306">J183+K183</f>
        <v>2147066.6</v>
      </c>
      <c r="I183" s="7">
        <f t="shared" ref="I183" si="307">H183*100/E183</f>
        <v>79.520985185185182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+5120+10624+18852+78083.6+37218+45873.25+78707.5+11600+23268+2423+9654+5120</f>
        <v>2147066.6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552933.39999999991</v>
      </c>
      <c r="Q183" s="7">
        <f t="shared" ref="Q183" si="311">P183*100/E183</f>
        <v>20.479014814814811</v>
      </c>
      <c r="R183" s="7">
        <f t="shared" ref="R183" si="312">F183-J183-N183</f>
        <v>0</v>
      </c>
      <c r="S183" s="7">
        <f t="shared" ref="S183" si="313">G183-K183-O183</f>
        <v>552933.39999999991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3886052.8499999996</v>
      </c>
      <c r="I184" s="49">
        <f>H184*100/E184</f>
        <v>99.36721003375267</v>
      </c>
      <c r="J184" s="49">
        <f>SUM(J185:J186)</f>
        <v>0</v>
      </c>
      <c r="K184" s="49">
        <f>SUM(K185:K192)</f>
        <v>3886052.8499999996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24747.150000000373</v>
      </c>
      <c r="Q184" s="49">
        <f t="shared" si="302"/>
        <v>0.63278996624732464</v>
      </c>
      <c r="R184" s="49">
        <f>SUM(R186:R212)</f>
        <v>0</v>
      </c>
      <c r="S184" s="49">
        <f>G184-K184-O184</f>
        <v>24747.150000000373</v>
      </c>
      <c r="T184" s="26">
        <f>I184+M184+Q184</f>
        <v>100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78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206753.1</v>
      </c>
      <c r="I187" s="7">
        <f t="shared" ref="I187" si="332">H187*100/E187</f>
        <v>99.305043227665706</v>
      </c>
      <c r="J187" s="7">
        <v>0</v>
      </c>
      <c r="K187" s="7">
        <f>123350+7740.1+49140+3915+2940+12020+1248+1280+1280+2560+1280</f>
        <v>206753.1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1446.8999999999942</v>
      </c>
      <c r="Q187" s="7">
        <f t="shared" ref="Q187" si="336">P187*100/E187</f>
        <v>0.69495677233429121</v>
      </c>
      <c r="R187" s="7">
        <f t="shared" ref="R187" si="337">F187-J187-N187</f>
        <v>0</v>
      </c>
      <c r="S187" s="7">
        <f t="shared" ref="S187" si="338">G187-K187-O187</f>
        <v>1446.8999999999942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78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78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827769.9</v>
      </c>
      <c r="I189" s="7">
        <f t="shared" si="341"/>
        <v>99.97221014492753</v>
      </c>
      <c r="J189" s="7">
        <v>0</v>
      </c>
      <c r="K189" s="7">
        <f>49376.5+11340+8820+34795+480+246699+105840+168252+2560+135684.4+42063+20580+1280</f>
        <v>827769.9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230.09999999997672</v>
      </c>
      <c r="Q189" s="7">
        <f t="shared" si="345"/>
        <v>2.7789855072460956E-2</v>
      </c>
      <c r="R189" s="7">
        <f t="shared" si="346"/>
        <v>0</v>
      </c>
      <c r="S189" s="7">
        <f t="shared" si="347"/>
        <v>230.09999999997672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91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91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91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1081415.95</v>
      </c>
      <c r="I192" s="7">
        <f t="shared" si="359"/>
        <v>98.310540909090903</v>
      </c>
      <c r="J192" s="7">
        <v>0</v>
      </c>
      <c r="K192" s="7">
        <f>61387+13230+10290+40805+246068.1+210315+113400+276485.85+102153+7282</f>
        <v>1081415.95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18584.050000000047</v>
      </c>
      <c r="Q192" s="7">
        <f t="shared" si="363"/>
        <v>1.6894590909090952</v>
      </c>
      <c r="R192" s="7">
        <f t="shared" si="364"/>
        <v>0</v>
      </c>
      <c r="S192" s="7">
        <f t="shared" si="365"/>
        <v>18584.050000000047</v>
      </c>
    </row>
    <row r="193" spans="1:20" ht="29.25" customHeight="1" x14ac:dyDescent="0.5">
      <c r="A193" s="15"/>
      <c r="B193" s="48" t="s">
        <v>85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853811.7</v>
      </c>
      <c r="I193" s="49">
        <f>H193*100/E193</f>
        <v>67.851147525350456</v>
      </c>
      <c r="J193" s="49">
        <f>SUM(J194:J196)</f>
        <v>0</v>
      </c>
      <c r="K193" s="49">
        <f>SUM(K194:K198)</f>
        <v>853811.7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404548.30000000005</v>
      </c>
      <c r="Q193" s="49">
        <f t="shared" si="345"/>
        <v>32.148852474649551</v>
      </c>
      <c r="R193" s="49">
        <f>SUM(R195:R218)</f>
        <v>0</v>
      </c>
      <c r="S193" s="49">
        <f>G193-K193-O193</f>
        <v>404548.30000000005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86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86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86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100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104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20819.7</v>
      </c>
      <c r="I198" s="7">
        <f t="shared" ref="I198" si="395">H198*100/E198</f>
        <v>7.4017704778156999</v>
      </c>
      <c r="J198" s="7">
        <v>0</v>
      </c>
      <c r="K198" s="7">
        <f>20819.7</f>
        <v>20819.7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260460.3</v>
      </c>
      <c r="Q198" s="7">
        <f t="shared" ref="Q198" si="399">P198*100/E198</f>
        <v>92.598229522184297</v>
      </c>
      <c r="R198" s="7">
        <f t="shared" ref="R198" si="400">F198-J198-N198</f>
        <v>0</v>
      </c>
      <c r="S198" s="7">
        <f t="shared" ref="S198" si="401">G198-K198-O198</f>
        <v>260460.3</v>
      </c>
    </row>
    <row r="199" spans="1:20" ht="36.75" customHeight="1" x14ac:dyDescent="0.5">
      <c r="A199" s="15"/>
      <c r="B199" s="48" t="s">
        <v>90</v>
      </c>
      <c r="C199" s="63"/>
      <c r="D199" s="63"/>
      <c r="E199" s="49">
        <f t="shared" si="375"/>
        <v>10090</v>
      </c>
      <c r="F199" s="49">
        <f>SUM(F203:F204)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SUM(J200:J203)</f>
        <v>0</v>
      </c>
      <c r="K199" s="49">
        <f>K200</f>
        <v>0</v>
      </c>
      <c r="L199" s="49">
        <f>N199+O199</f>
        <v>0</v>
      </c>
      <c r="M199" s="48"/>
      <c r="N199" s="49">
        <f>SUM(N200:N203)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SUM(R203:R221)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91</v>
      </c>
      <c r="E200" s="7">
        <f t="shared" ref="E200:E201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:Q201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6" customHeight="1" x14ac:dyDescent="0.5">
      <c r="A201" s="15"/>
      <c r="B201" s="48" t="s">
        <v>114</v>
      </c>
      <c r="C201" s="63"/>
      <c r="D201" s="63"/>
      <c r="E201" s="49">
        <f t="shared" si="402"/>
        <v>80000</v>
      </c>
      <c r="F201" s="49">
        <f>SUM(F205:F206)</f>
        <v>0</v>
      </c>
      <c r="G201" s="49">
        <f>SUM(G202)</f>
        <v>80000</v>
      </c>
      <c r="H201" s="49">
        <f>J201+K201</f>
        <v>0</v>
      </c>
      <c r="I201" s="49">
        <f>H201*100/E201</f>
        <v>0</v>
      </c>
      <c r="J201" s="49">
        <f>SUM(J202:J205)</f>
        <v>0</v>
      </c>
      <c r="K201" s="49">
        <f>K202</f>
        <v>0</v>
      </c>
      <c r="L201" s="49">
        <f>N201+O201</f>
        <v>0</v>
      </c>
      <c r="M201" s="48"/>
      <c r="N201" s="49">
        <f>SUM(N202:N205)</f>
        <v>0</v>
      </c>
      <c r="O201" s="49">
        <f>O202</f>
        <v>0</v>
      </c>
      <c r="P201" s="49">
        <f>R201+S201</f>
        <v>80000</v>
      </c>
      <c r="Q201" s="49">
        <f t="shared" si="408"/>
        <v>100</v>
      </c>
      <c r="R201" s="49">
        <f>SUM(R205:R223)</f>
        <v>0</v>
      </c>
      <c r="S201" s="49">
        <f>G201-K201-O201</f>
        <v>80000</v>
      </c>
    </row>
    <row r="202" spans="1:20" ht="33.75" customHeight="1" x14ac:dyDescent="0.5">
      <c r="A202" s="15"/>
      <c r="B202" s="53" t="str">
        <f>[22]รายการสรุป!$E$5</f>
        <v>ค่าศึกษาวิเคราะห์ปลอดภัยเขื่อน</v>
      </c>
      <c r="C202" s="24" t="str">
        <f>[22]รายการสรุป!$I$5</f>
        <v>0700338006410004</v>
      </c>
      <c r="D202" s="6" t="s">
        <v>115</v>
      </c>
      <c r="E202" s="7">
        <f t="shared" ref="E202" si="411">F202+G202</f>
        <v>80000</v>
      </c>
      <c r="F202" s="7">
        <v>0</v>
      </c>
      <c r="G202" s="8">
        <f>[22]รายการสรุป!$J$5</f>
        <v>80000</v>
      </c>
      <c r="H202" s="7">
        <f t="shared" ref="H202" si="412">J202+K202</f>
        <v>0</v>
      </c>
      <c r="I202" s="7">
        <f t="shared" ref="I202" si="413">H202*100/E202</f>
        <v>0</v>
      </c>
      <c r="J202" s="7">
        <v>0</v>
      </c>
      <c r="K202" s="7">
        <v>0</v>
      </c>
      <c r="L202" s="7">
        <f t="shared" ref="L202" si="414">N202+O202</f>
        <v>0</v>
      </c>
      <c r="M202" s="7">
        <f t="shared" ref="M202" si="415">L202*100/E202</f>
        <v>0</v>
      </c>
      <c r="N202" s="7">
        <v>0</v>
      </c>
      <c r="O202" s="7">
        <v>0</v>
      </c>
      <c r="P202" s="7">
        <f t="shared" ref="P202" si="416">R202+S202</f>
        <v>80000</v>
      </c>
      <c r="Q202" s="7">
        <f t="shared" ref="Q202" si="417">P202*100/E202</f>
        <v>100</v>
      </c>
      <c r="R202" s="7">
        <f t="shared" ref="R202" si="418">F202-J202-N202</f>
        <v>0</v>
      </c>
      <c r="S202" s="7">
        <f t="shared" ref="S202" si="419">G202-K202-O202</f>
        <v>80000</v>
      </c>
    </row>
    <row r="203" spans="1:20" ht="30" customHeight="1" x14ac:dyDescent="0.5">
      <c r="A203" s="15"/>
      <c r="B203" s="50" t="s">
        <v>42</v>
      </c>
      <c r="C203" s="65"/>
      <c r="D203" s="62"/>
      <c r="E203" s="51">
        <f t="shared" si="251"/>
        <v>5571800</v>
      </c>
      <c r="F203" s="50">
        <v>0</v>
      </c>
      <c r="G203" s="51">
        <f>G204+G211+G224+G226</f>
        <v>5571800</v>
      </c>
      <c r="H203" s="52">
        <f>J203+K203</f>
        <v>2343277.8400000003</v>
      </c>
      <c r="I203" s="7">
        <f>H203*100/E203</f>
        <v>42.056029290355006</v>
      </c>
      <c r="J203" s="50">
        <v>0</v>
      </c>
      <c r="K203" s="52">
        <f>K204+K211+K224+K226</f>
        <v>2343277.8400000003</v>
      </c>
      <c r="L203" s="52">
        <f>N203+O203</f>
        <v>0</v>
      </c>
      <c r="M203" s="50">
        <f>L203*100/E203</f>
        <v>0</v>
      </c>
      <c r="N203" s="50">
        <v>0</v>
      </c>
      <c r="O203" s="52">
        <f>O204+O211+O224+O226</f>
        <v>0</v>
      </c>
      <c r="P203" s="52">
        <f>R203+S203</f>
        <v>3228522.1599999997</v>
      </c>
      <c r="Q203" s="51">
        <f>P203*100/E203</f>
        <v>57.943970709644987</v>
      </c>
      <c r="R203" s="50">
        <v>0</v>
      </c>
      <c r="S203" s="52">
        <f>G203-K203-O203</f>
        <v>3228522.1599999997</v>
      </c>
      <c r="T203" s="26">
        <f>I203+Q203</f>
        <v>100</v>
      </c>
    </row>
    <row r="204" spans="1:20" ht="30" customHeight="1" x14ac:dyDescent="0.5">
      <c r="A204" s="15"/>
      <c r="B204" s="48" t="s">
        <v>43</v>
      </c>
      <c r="C204" s="63"/>
      <c r="D204" s="63"/>
      <c r="E204" s="49">
        <f t="shared" si="251"/>
        <v>597000</v>
      </c>
      <c r="F204" s="49">
        <f>SUM(F206:F215)</f>
        <v>0</v>
      </c>
      <c r="G204" s="49">
        <f>SUM(G205:G210)</f>
        <v>597000</v>
      </c>
      <c r="H204" s="49">
        <f>J204+K204</f>
        <v>369432.9</v>
      </c>
      <c r="I204" s="49">
        <f>H204*100/E204</f>
        <v>61.881557788944725</v>
      </c>
      <c r="J204" s="49">
        <f>SUM(J206:J215)</f>
        <v>0</v>
      </c>
      <c r="K204" s="49">
        <f>SUM(K205:K210)</f>
        <v>369432.9</v>
      </c>
      <c r="L204" s="49">
        <f>N204+O204</f>
        <v>0</v>
      </c>
      <c r="M204" s="48"/>
      <c r="N204" s="49">
        <f>SUM(N206:N213)</f>
        <v>0</v>
      </c>
      <c r="O204" s="49">
        <f>SUM(O205:O210)</f>
        <v>0</v>
      </c>
      <c r="P204" s="49">
        <f>R204+S204</f>
        <v>227567.09999999998</v>
      </c>
      <c r="Q204" s="7">
        <f t="shared" ref="Q204:Q205" si="420">P204*100/E204</f>
        <v>38.118442211055267</v>
      </c>
      <c r="R204" s="49">
        <f>SUM(R206:R213)</f>
        <v>0</v>
      </c>
      <c r="S204" s="49">
        <f>G204-K204-O204</f>
        <v>227567.09999999998</v>
      </c>
    </row>
    <row r="205" spans="1:20" ht="45.75" customHeight="1" x14ac:dyDescent="0.5">
      <c r="A205" s="15">
        <v>184</v>
      </c>
      <c r="B205" s="53" t="str">
        <f>[23]รายการสรุป!$E$5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5" s="24" t="str">
        <f>[23]รายการสรุป!$I$5</f>
        <v>0700341027410096</v>
      </c>
      <c r="D205" s="6" t="s">
        <v>38</v>
      </c>
      <c r="E205" s="7">
        <f t="shared" ref="E205" si="421">F205+G205</f>
        <v>99500</v>
      </c>
      <c r="F205" s="7">
        <v>0</v>
      </c>
      <c r="G205" s="8">
        <f>[23]รายการสรุป!$J$5</f>
        <v>99500</v>
      </c>
      <c r="H205" s="7">
        <f t="shared" ref="H205" si="422">J205+K205</f>
        <v>96240</v>
      </c>
      <c r="I205" s="7">
        <f t="shared" ref="I205" si="423">H205*100/E205</f>
        <v>96.723618090452263</v>
      </c>
      <c r="J205" s="7">
        <v>0</v>
      </c>
      <c r="K205" s="7">
        <f>15040+81200</f>
        <v>96240</v>
      </c>
      <c r="L205" s="7">
        <f t="shared" ref="L205" si="424">N205+O205</f>
        <v>0</v>
      </c>
      <c r="M205" s="7">
        <f t="shared" ref="M205" si="425">L205*100/E205</f>
        <v>0</v>
      </c>
      <c r="N205" s="7">
        <v>0</v>
      </c>
      <c r="O205" s="7">
        <v>0</v>
      </c>
      <c r="P205" s="7">
        <f t="shared" ref="P205" si="426">R205+S205</f>
        <v>3260</v>
      </c>
      <c r="Q205" s="7">
        <f t="shared" si="420"/>
        <v>3.2763819095477387</v>
      </c>
      <c r="R205" s="7">
        <f t="shared" ref="R205" si="427">F205-J205-N205</f>
        <v>0</v>
      </c>
      <c r="S205" s="7">
        <f t="shared" ref="S205" si="428">G205-K205-O205</f>
        <v>3260</v>
      </c>
    </row>
    <row r="206" spans="1:20" ht="30" customHeight="1" x14ac:dyDescent="0.5">
      <c r="A206" s="15">
        <v>185</v>
      </c>
      <c r="B206" s="53" t="str">
        <f>[23]รายการสรุป!$E$6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6" s="24" t="str">
        <f>[23]รายการสรุป!$I$6</f>
        <v>0700341027410011</v>
      </c>
      <c r="D206" s="6" t="s">
        <v>38</v>
      </c>
      <c r="E206" s="7">
        <f t="shared" ref="E206:E211" si="429">F206+G206</f>
        <v>0</v>
      </c>
      <c r="F206" s="7">
        <v>0</v>
      </c>
      <c r="G206" s="8">
        <f>[23]รายการสรุป!$J$6</f>
        <v>0</v>
      </c>
      <c r="H206" s="7">
        <f t="shared" ref="H206:H207" si="430">J206+K206</f>
        <v>0</v>
      </c>
      <c r="I206" s="7" t="e">
        <f t="shared" ref="I206:I207" si="431">H206*100/E206</f>
        <v>#DIV/0!</v>
      </c>
      <c r="J206" s="7">
        <v>0</v>
      </c>
      <c r="K206" s="7">
        <v>0</v>
      </c>
      <c r="L206" s="7">
        <f t="shared" ref="L206:L207" si="432">N206+O206</f>
        <v>0</v>
      </c>
      <c r="M206" s="7" t="e">
        <f t="shared" ref="M206:M207" si="433">L206*100/E206</f>
        <v>#DIV/0!</v>
      </c>
      <c r="N206" s="7">
        <v>0</v>
      </c>
      <c r="O206" s="7">
        <v>0</v>
      </c>
      <c r="P206" s="7">
        <f t="shared" ref="P206:P207" si="434">R206+S206</f>
        <v>0</v>
      </c>
      <c r="Q206" s="7" t="e">
        <f t="shared" ref="Q206:Q211" si="435">P206*100/E206</f>
        <v>#DIV/0!</v>
      </c>
      <c r="R206" s="7">
        <f t="shared" ref="R206:R207" si="436">F206-J206-N206</f>
        <v>0</v>
      </c>
      <c r="S206" s="7">
        <f t="shared" ref="S206:S207" si="437">G206-K206-O206</f>
        <v>0</v>
      </c>
      <c r="T206" s="1" t="s">
        <v>82</v>
      </c>
    </row>
    <row r="207" spans="1:20" ht="30" customHeight="1" x14ac:dyDescent="0.5">
      <c r="A207" s="15">
        <v>186</v>
      </c>
      <c r="B207" s="53" t="str">
        <f>[23]รายการสรุป!$E$7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7" s="24" t="str">
        <f>[23]รายการสรุป!$I$7</f>
        <v>0700341027420006</v>
      </c>
      <c r="D207" s="6" t="s">
        <v>38</v>
      </c>
      <c r="E207" s="7">
        <f t="shared" si="429"/>
        <v>0</v>
      </c>
      <c r="F207" s="7">
        <v>0</v>
      </c>
      <c r="G207" s="8">
        <f>[23]รายการสรุป!$J$7</f>
        <v>0</v>
      </c>
      <c r="H207" s="7">
        <f t="shared" si="430"/>
        <v>0</v>
      </c>
      <c r="I207" s="7" t="e">
        <f t="shared" si="431"/>
        <v>#DIV/0!</v>
      </c>
      <c r="J207" s="7">
        <v>0</v>
      </c>
      <c r="K207" s="7">
        <v>0</v>
      </c>
      <c r="L207" s="7">
        <f t="shared" si="432"/>
        <v>0</v>
      </c>
      <c r="M207" s="7" t="e">
        <f t="shared" si="433"/>
        <v>#DIV/0!</v>
      </c>
      <c r="N207" s="7">
        <v>0</v>
      </c>
      <c r="O207" s="7">
        <v>0</v>
      </c>
      <c r="P207" s="7">
        <f t="shared" si="434"/>
        <v>0</v>
      </c>
      <c r="Q207" s="7" t="e">
        <f t="shared" si="435"/>
        <v>#DIV/0!</v>
      </c>
      <c r="R207" s="7">
        <f t="shared" si="436"/>
        <v>0</v>
      </c>
      <c r="S207" s="7">
        <f t="shared" si="437"/>
        <v>0</v>
      </c>
      <c r="T207" s="1" t="s">
        <v>82</v>
      </c>
    </row>
    <row r="208" spans="1:20" ht="30" customHeight="1" x14ac:dyDescent="0.5">
      <c r="A208" s="15">
        <v>187</v>
      </c>
      <c r="B208" s="53" t="str">
        <f>[23]รายการสรุป!$E$8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8" s="24" t="str">
        <f>[23]รายการสรุป!$I$8</f>
        <v>0700341027410095</v>
      </c>
      <c r="D208" s="6" t="s">
        <v>49</v>
      </c>
      <c r="E208" s="7">
        <f t="shared" ref="E208" si="438">F208+G208</f>
        <v>311500</v>
      </c>
      <c r="F208" s="7">
        <v>0</v>
      </c>
      <c r="G208" s="8">
        <f>[23]รายการสรุป!$J$8</f>
        <v>311500</v>
      </c>
      <c r="H208" s="7">
        <f t="shared" ref="H208" si="439">J208+K208</f>
        <v>88362.9</v>
      </c>
      <c r="I208" s="7">
        <f t="shared" ref="I208" si="440">H208*100/E208</f>
        <v>28.366902086677367</v>
      </c>
      <c r="J208" s="7">
        <v>0</v>
      </c>
      <c r="K208" s="7">
        <f>14331+19038.4+6363.5+6720+3840+38070</f>
        <v>88362.9</v>
      </c>
      <c r="L208" s="7">
        <f t="shared" ref="L208" si="441">N208+O208</f>
        <v>0</v>
      </c>
      <c r="M208" s="7">
        <f t="shared" ref="M208" si="442">L208*100/E208</f>
        <v>0</v>
      </c>
      <c r="N208" s="7">
        <v>0</v>
      </c>
      <c r="O208" s="7">
        <v>0</v>
      </c>
      <c r="P208" s="7">
        <f t="shared" ref="P208" si="443">R208+S208</f>
        <v>223137.1</v>
      </c>
      <c r="Q208" s="7">
        <f t="shared" ref="Q208" si="444">P208*100/E208</f>
        <v>71.633097913322629</v>
      </c>
      <c r="R208" s="7">
        <f t="shared" ref="R208" si="445">F208-J208-N208</f>
        <v>0</v>
      </c>
      <c r="S208" s="7">
        <f t="shared" ref="S208" si="446">G208-K208-O208</f>
        <v>223137.1</v>
      </c>
    </row>
    <row r="209" spans="1:19" ht="30" customHeight="1" x14ac:dyDescent="0.5">
      <c r="A209" s="15">
        <v>188</v>
      </c>
      <c r="B209" s="53" t="str">
        <f>[23]รายการสรุป!$E$9</f>
        <v>ปรับปรุงคันคลอง RMC ระยะที่ 2โครงการส่งน้ำและบำรุงแม่ลาว จ.เชียงราย</v>
      </c>
      <c r="C209" s="24" t="str">
        <f>[23]รายการสรุป!$I$9</f>
        <v>0700341027420080</v>
      </c>
      <c r="D209" s="6" t="s">
        <v>74</v>
      </c>
      <c r="E209" s="7">
        <f t="shared" ref="E209" si="447">F209+G209</f>
        <v>78000</v>
      </c>
      <c r="F209" s="7">
        <v>0</v>
      </c>
      <c r="G209" s="8">
        <f>[23]รายการสรุป!$J$9</f>
        <v>78000</v>
      </c>
      <c r="H209" s="7">
        <f t="shared" ref="H209" si="448">J209+K209</f>
        <v>77400</v>
      </c>
      <c r="I209" s="7">
        <f t="shared" ref="I209" si="449">H209*100/E209</f>
        <v>99.230769230769226</v>
      </c>
      <c r="J209" s="7">
        <v>0</v>
      </c>
      <c r="K209" s="7">
        <f>77400</f>
        <v>77400</v>
      </c>
      <c r="L209" s="7">
        <f t="shared" ref="L209" si="450">N209+O209</f>
        <v>0</v>
      </c>
      <c r="M209" s="7">
        <f t="shared" ref="M209" si="451">L209*100/E209</f>
        <v>0</v>
      </c>
      <c r="N209" s="7">
        <v>0</v>
      </c>
      <c r="O209" s="7">
        <v>0</v>
      </c>
      <c r="P209" s="7">
        <f t="shared" ref="P209" si="452">R209+S209</f>
        <v>600</v>
      </c>
      <c r="Q209" s="7">
        <f t="shared" ref="Q209" si="453">P209*100/E209</f>
        <v>0.76923076923076927</v>
      </c>
      <c r="R209" s="7">
        <f t="shared" ref="R209" si="454">F209-J209-N209</f>
        <v>0</v>
      </c>
      <c r="S209" s="7">
        <f t="shared" ref="S209" si="455">G209-K209-O209</f>
        <v>600</v>
      </c>
    </row>
    <row r="210" spans="1:19" ht="30" customHeight="1" x14ac:dyDescent="0.5">
      <c r="A210" s="15">
        <v>189</v>
      </c>
      <c r="B210" s="53" t="str">
        <f>[23]รายการสรุป!$E$10</f>
        <v>ปรับปรุงคันคลอง RMC ระยะที่ 1โครงการส่งน้ำและบำรุงแม่ลาว จ.เชียงราย</v>
      </c>
      <c r="C210" s="24" t="str">
        <f>[23]รายการสรุป!$I$10</f>
        <v>0700341027420079</v>
      </c>
      <c r="D210" s="6" t="s">
        <v>80</v>
      </c>
      <c r="E210" s="7">
        <f t="shared" ref="E210" si="456">F210+G210</f>
        <v>108000</v>
      </c>
      <c r="F210" s="7">
        <v>0</v>
      </c>
      <c r="G210" s="8">
        <f>[23]รายการสรุป!$J$10</f>
        <v>108000</v>
      </c>
      <c r="H210" s="7">
        <f t="shared" ref="H210" si="457">J210+K210</f>
        <v>107430</v>
      </c>
      <c r="I210" s="7">
        <f t="shared" ref="I210" si="458">H210*100/E210</f>
        <v>99.472222222222229</v>
      </c>
      <c r="J210" s="7">
        <v>0</v>
      </c>
      <c r="K210" s="7">
        <f>63470+43960</f>
        <v>107430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570</v>
      </c>
      <c r="Q210" s="7">
        <f t="shared" ref="Q210" si="462">P210*100/E210</f>
        <v>0.52777777777777779</v>
      </c>
      <c r="R210" s="7">
        <f t="shared" ref="R210" si="463">F210-J210-N210</f>
        <v>0</v>
      </c>
      <c r="S210" s="7">
        <f t="shared" ref="S210" si="464">G210-K210-O210</f>
        <v>570</v>
      </c>
    </row>
    <row r="211" spans="1:19" ht="30" customHeight="1" x14ac:dyDescent="0.5">
      <c r="A211" s="15"/>
      <c r="B211" s="48" t="s">
        <v>31</v>
      </c>
      <c r="C211" s="63"/>
      <c r="D211" s="63"/>
      <c r="E211" s="49">
        <f t="shared" si="429"/>
        <v>3954100</v>
      </c>
      <c r="F211" s="49">
        <f>SUM(F213:F219)</f>
        <v>0</v>
      </c>
      <c r="G211" s="49">
        <f>SUM(G212:G223)</f>
        <v>3954100</v>
      </c>
      <c r="H211" s="49">
        <f>J211+K211</f>
        <v>1453699.9400000002</v>
      </c>
      <c r="I211" s="49">
        <f>H211*100/E211</f>
        <v>36.764369641637799</v>
      </c>
      <c r="J211" s="49">
        <f>SUM(J213:J219)</f>
        <v>0</v>
      </c>
      <c r="K211" s="49">
        <f>SUM(K212:K223)</f>
        <v>1453699.9400000002</v>
      </c>
      <c r="L211" s="49">
        <f>N211+O211</f>
        <v>0</v>
      </c>
      <c r="M211" s="48"/>
      <c r="N211" s="49">
        <f>SUM(N213:N217)</f>
        <v>0</v>
      </c>
      <c r="O211" s="49">
        <f>SUM(O212:O223)</f>
        <v>0</v>
      </c>
      <c r="P211" s="49">
        <f>R211+S211</f>
        <v>2500400.0599999996</v>
      </c>
      <c r="Q211" s="7">
        <f t="shared" si="435"/>
        <v>63.235630358362201</v>
      </c>
      <c r="R211" s="49">
        <f>SUM(R213:R217)</f>
        <v>0</v>
      </c>
      <c r="S211" s="49">
        <f>G211-K211-O211</f>
        <v>2500400.0599999996</v>
      </c>
    </row>
    <row r="212" spans="1:19" ht="45.75" customHeight="1" x14ac:dyDescent="0.5">
      <c r="A212" s="15">
        <v>190</v>
      </c>
      <c r="B212" s="53" t="str">
        <f>[24]รายการสรุป!$E$5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2" s="24" t="str">
        <f>[24]รายการสรุป!$I$5</f>
        <v>0700341027410010</v>
      </c>
      <c r="D212" s="6" t="s">
        <v>38</v>
      </c>
      <c r="E212" s="7">
        <f t="shared" ref="E212" si="465">F212+G212</f>
        <v>243600</v>
      </c>
      <c r="F212" s="7">
        <v>0</v>
      </c>
      <c r="G212" s="8">
        <f>[24]รายการสรุป!$J$5</f>
        <v>243600</v>
      </c>
      <c r="H212" s="7">
        <f t="shared" ref="H212" si="466">J212+K212</f>
        <v>0</v>
      </c>
      <c r="I212" s="7">
        <f t="shared" ref="I212" si="467">H212*100/E212</f>
        <v>0</v>
      </c>
      <c r="J212" s="7">
        <v>0</v>
      </c>
      <c r="K212" s="7">
        <v>0</v>
      </c>
      <c r="L212" s="7">
        <f t="shared" ref="L212" si="468">N212+O212</f>
        <v>0</v>
      </c>
      <c r="M212" s="7">
        <f t="shared" ref="M212" si="469">L212*100/E212</f>
        <v>0</v>
      </c>
      <c r="N212" s="7">
        <v>0</v>
      </c>
      <c r="O212" s="7">
        <v>0</v>
      </c>
      <c r="P212" s="7">
        <f t="shared" ref="P212" si="470">R212+S212</f>
        <v>243600</v>
      </c>
      <c r="Q212" s="7">
        <f t="shared" ref="Q212" si="471">P212*100/E212</f>
        <v>100</v>
      </c>
      <c r="R212" s="7">
        <f t="shared" ref="R212" si="472">F212-J212-N212</f>
        <v>0</v>
      </c>
      <c r="S212" s="7">
        <f t="shared" ref="S212" si="473">G212-K212-O212</f>
        <v>243600</v>
      </c>
    </row>
    <row r="213" spans="1:19" ht="45.75" customHeight="1" x14ac:dyDescent="0.5">
      <c r="A213" s="15">
        <v>191</v>
      </c>
      <c r="B213" s="53" t="str">
        <f>[24]รายการสรุป!$E$6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3" s="24" t="str">
        <f>[24]รายการสรุป!$I$6</f>
        <v>0700341027410011</v>
      </c>
      <c r="D213" s="6" t="s">
        <v>38</v>
      </c>
      <c r="E213" s="7">
        <f t="shared" ref="E213:E219" si="474">F213+G213</f>
        <v>269100</v>
      </c>
      <c r="F213" s="7">
        <v>0</v>
      </c>
      <c r="G213" s="8">
        <f>[24]รายการสรุป!$J$6</f>
        <v>269100</v>
      </c>
      <c r="H213" s="7">
        <f t="shared" ref="H213:H219" si="475">J213+K213</f>
        <v>0</v>
      </c>
      <c r="I213" s="7">
        <f t="shared" ref="I213:I219" si="476">H213*100/E213</f>
        <v>0</v>
      </c>
      <c r="J213" s="7">
        <v>0</v>
      </c>
      <c r="K213" s="7">
        <v>0</v>
      </c>
      <c r="L213" s="7">
        <f t="shared" ref="L213:L219" si="477">N213+O213</f>
        <v>0</v>
      </c>
      <c r="M213" s="7">
        <f t="shared" ref="M213:M219" si="478">L213*100/E213</f>
        <v>0</v>
      </c>
      <c r="N213" s="7">
        <v>0</v>
      </c>
      <c r="O213" s="7">
        <v>0</v>
      </c>
      <c r="P213" s="7">
        <f t="shared" ref="P213:P219" si="479">R213+S213</f>
        <v>269100</v>
      </c>
      <c r="Q213" s="7">
        <f t="shared" ref="Q213:Q219" si="480">P213*100/E213</f>
        <v>100</v>
      </c>
      <c r="R213" s="7">
        <f t="shared" ref="R213:R219" si="481">F213-J213-N213</f>
        <v>0</v>
      </c>
      <c r="S213" s="7">
        <f t="shared" ref="S213:S219" si="482">G213-K213-O213</f>
        <v>269100</v>
      </c>
    </row>
    <row r="214" spans="1:19" ht="30" customHeight="1" x14ac:dyDescent="0.5">
      <c r="A214" s="15">
        <v>192</v>
      </c>
      <c r="B214" s="53" t="str">
        <f>[24]รายการสรุป!$E$7</f>
        <v>ปรับปรุงระบบส่งน้ำอ่างเก็บน้ำห้วยสมัย โครงการชลประทานลำปาง จ.ลำปาง</v>
      </c>
      <c r="C214" s="24" t="str">
        <f>[24]รายการสรุป!$I$7</f>
        <v>0700341027410012</v>
      </c>
      <c r="D214" s="6" t="s">
        <v>38</v>
      </c>
      <c r="E214" s="7">
        <f t="shared" si="474"/>
        <v>220000</v>
      </c>
      <c r="F214" s="7">
        <v>0</v>
      </c>
      <c r="G214" s="8">
        <f>[24]รายการสรุป!$J$7</f>
        <v>220000</v>
      </c>
      <c r="H214" s="7">
        <f t="shared" si="475"/>
        <v>0</v>
      </c>
      <c r="I214" s="7">
        <f t="shared" si="476"/>
        <v>0</v>
      </c>
      <c r="J214" s="7">
        <v>0</v>
      </c>
      <c r="K214" s="7">
        <v>0</v>
      </c>
      <c r="L214" s="7">
        <f t="shared" si="477"/>
        <v>0</v>
      </c>
      <c r="M214" s="7">
        <f t="shared" si="478"/>
        <v>0</v>
      </c>
      <c r="N214" s="7">
        <v>0</v>
      </c>
      <c r="O214" s="7">
        <v>0</v>
      </c>
      <c r="P214" s="7">
        <f t="shared" si="479"/>
        <v>220000</v>
      </c>
      <c r="Q214" s="7">
        <f t="shared" si="480"/>
        <v>100</v>
      </c>
      <c r="R214" s="7">
        <f t="shared" si="481"/>
        <v>0</v>
      </c>
      <c r="S214" s="7">
        <f t="shared" si="482"/>
        <v>220000</v>
      </c>
    </row>
    <row r="215" spans="1:19" ht="45" customHeight="1" x14ac:dyDescent="0.5">
      <c r="A215" s="15">
        <v>193</v>
      </c>
      <c r="B215" s="53" t="str">
        <f>[24]รายการสรุป!$E$8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5" s="24" t="str">
        <f>[24]รายการสรุป!$I$8</f>
        <v>0700341027410192</v>
      </c>
      <c r="D215" s="6" t="s">
        <v>38</v>
      </c>
      <c r="E215" s="7">
        <f t="shared" si="474"/>
        <v>123000</v>
      </c>
      <c r="F215" s="7">
        <v>0</v>
      </c>
      <c r="G215" s="8">
        <f>[24]รายการสรุป!$J$8</f>
        <v>123000</v>
      </c>
      <c r="H215" s="7">
        <f t="shared" si="475"/>
        <v>50794.45</v>
      </c>
      <c r="I215" s="7">
        <f t="shared" si="476"/>
        <v>41.296300813008131</v>
      </c>
      <c r="J215" s="7">
        <v>0</v>
      </c>
      <c r="K215" s="7">
        <f>50794.45</f>
        <v>50794.45</v>
      </c>
      <c r="L215" s="7">
        <f t="shared" si="477"/>
        <v>0</v>
      </c>
      <c r="M215" s="7">
        <f t="shared" si="478"/>
        <v>0</v>
      </c>
      <c r="N215" s="7">
        <v>0</v>
      </c>
      <c r="O215" s="7">
        <v>0</v>
      </c>
      <c r="P215" s="7">
        <f t="shared" si="479"/>
        <v>72205.55</v>
      </c>
      <c r="Q215" s="7">
        <f t="shared" si="480"/>
        <v>58.703699186991869</v>
      </c>
      <c r="R215" s="7">
        <f t="shared" si="481"/>
        <v>0</v>
      </c>
      <c r="S215" s="7">
        <f t="shared" si="482"/>
        <v>72205.55</v>
      </c>
    </row>
    <row r="216" spans="1:19" ht="30" customHeight="1" x14ac:dyDescent="0.5">
      <c r="A216" s="15">
        <v>194</v>
      </c>
      <c r="B216" s="53" t="str">
        <f>[24]รายการสรุป!$E$9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6" s="24" t="str">
        <f>[24]รายการสรุป!$I$9</f>
        <v>0700341027420003</v>
      </c>
      <c r="D216" s="6" t="s">
        <v>38</v>
      </c>
      <c r="E216" s="7">
        <f t="shared" si="474"/>
        <v>359800</v>
      </c>
      <c r="F216" s="7">
        <v>0</v>
      </c>
      <c r="G216" s="8">
        <f>[24]รายการสรุป!$J$9</f>
        <v>359800</v>
      </c>
      <c r="H216" s="7">
        <f t="shared" si="475"/>
        <v>0</v>
      </c>
      <c r="I216" s="7">
        <f t="shared" si="476"/>
        <v>0</v>
      </c>
      <c r="J216" s="7">
        <v>0</v>
      </c>
      <c r="K216" s="7">
        <v>0</v>
      </c>
      <c r="L216" s="7">
        <f t="shared" si="477"/>
        <v>0</v>
      </c>
      <c r="M216" s="7">
        <f t="shared" si="478"/>
        <v>0</v>
      </c>
      <c r="N216" s="7">
        <v>0</v>
      </c>
      <c r="O216" s="7">
        <v>0</v>
      </c>
      <c r="P216" s="7">
        <f t="shared" si="479"/>
        <v>359800</v>
      </c>
      <c r="Q216" s="7">
        <f t="shared" si="480"/>
        <v>100</v>
      </c>
      <c r="R216" s="7">
        <f t="shared" si="481"/>
        <v>0</v>
      </c>
      <c r="S216" s="7">
        <f t="shared" si="482"/>
        <v>359800</v>
      </c>
    </row>
    <row r="217" spans="1:19" ht="30" customHeight="1" x14ac:dyDescent="0.5">
      <c r="A217" s="15">
        <v>195</v>
      </c>
      <c r="B217" s="53" t="str">
        <f>[24]รายการสรุป!$E$10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7" s="24" t="str">
        <f>[24]รายการสรุป!$I$10</f>
        <v>0700341027420004</v>
      </c>
      <c r="D217" s="6" t="s">
        <v>38</v>
      </c>
      <c r="E217" s="7">
        <f t="shared" si="474"/>
        <v>555600</v>
      </c>
      <c r="F217" s="7">
        <v>0</v>
      </c>
      <c r="G217" s="8">
        <f>[24]รายการสรุป!$J$10</f>
        <v>555600</v>
      </c>
      <c r="H217" s="7">
        <f t="shared" si="475"/>
        <v>159413.34000000003</v>
      </c>
      <c r="I217" s="7">
        <f t="shared" si="476"/>
        <v>28.692105831533482</v>
      </c>
      <c r="J217" s="7">
        <v>0</v>
      </c>
      <c r="K217" s="7">
        <f>66051.7+2953.6+35037.8+20939.79+13266+2953.6+8000.9+7256.35+2953.6</f>
        <v>159413.34000000003</v>
      </c>
      <c r="L217" s="7">
        <f t="shared" si="477"/>
        <v>0</v>
      </c>
      <c r="M217" s="7">
        <f t="shared" si="478"/>
        <v>0</v>
      </c>
      <c r="N217" s="7">
        <v>0</v>
      </c>
      <c r="O217" s="7">
        <v>0</v>
      </c>
      <c r="P217" s="7">
        <f t="shared" si="479"/>
        <v>396186.66</v>
      </c>
      <c r="Q217" s="7">
        <f t="shared" si="480"/>
        <v>71.307894168466518</v>
      </c>
      <c r="R217" s="7">
        <f t="shared" si="481"/>
        <v>0</v>
      </c>
      <c r="S217" s="7">
        <f t="shared" si="482"/>
        <v>396186.66</v>
      </c>
    </row>
    <row r="218" spans="1:19" ht="30" customHeight="1" x14ac:dyDescent="0.5">
      <c r="A218" s="15">
        <v>196</v>
      </c>
      <c r="B218" s="53" t="str">
        <f>[24]รายการสรุป!$E$11</f>
        <v>ปรับปรุงระบบส่งน้ำฝายระยะที่ 2 โครงการชลประทานลำปาง จ.ลำปาง</v>
      </c>
      <c r="C218" s="24" t="str">
        <f>[24]รายการสรุป!$I$11</f>
        <v>0700341027420104</v>
      </c>
      <c r="D218" s="6" t="s">
        <v>38</v>
      </c>
      <c r="E218" s="7">
        <f t="shared" si="474"/>
        <v>340000</v>
      </c>
      <c r="F218" s="7">
        <v>0</v>
      </c>
      <c r="G218" s="8">
        <f>[24]รายการสรุป!$J$11</f>
        <v>340000</v>
      </c>
      <c r="H218" s="7">
        <f t="shared" si="475"/>
        <v>0</v>
      </c>
      <c r="I218" s="7">
        <f t="shared" si="476"/>
        <v>0</v>
      </c>
      <c r="J218" s="7">
        <v>0</v>
      </c>
      <c r="K218" s="7">
        <v>0</v>
      </c>
      <c r="L218" s="7">
        <f t="shared" si="477"/>
        <v>0</v>
      </c>
      <c r="M218" s="7">
        <f t="shared" si="478"/>
        <v>0</v>
      </c>
      <c r="N218" s="7">
        <v>0</v>
      </c>
      <c r="O218" s="7">
        <v>0</v>
      </c>
      <c r="P218" s="7">
        <f t="shared" si="479"/>
        <v>340000</v>
      </c>
      <c r="Q218" s="7">
        <f t="shared" si="480"/>
        <v>100</v>
      </c>
      <c r="R218" s="7">
        <f t="shared" si="481"/>
        <v>0</v>
      </c>
      <c r="S218" s="7">
        <f t="shared" si="482"/>
        <v>340000</v>
      </c>
    </row>
    <row r="219" spans="1:19" ht="30" customHeight="1" x14ac:dyDescent="0.5">
      <c r="A219" s="15">
        <v>197</v>
      </c>
      <c r="B219" s="53" t="str">
        <f>[24]รายการสรุป!$E$12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9" s="24" t="str">
        <f>[24]รายการสรุป!$I$12</f>
        <v>0700341027420105</v>
      </c>
      <c r="D219" s="6" t="s">
        <v>38</v>
      </c>
      <c r="E219" s="7">
        <f t="shared" si="474"/>
        <v>220000</v>
      </c>
      <c r="F219" s="7">
        <v>0</v>
      </c>
      <c r="G219" s="8">
        <f>[24]รายการสรุป!$J$12</f>
        <v>220000</v>
      </c>
      <c r="H219" s="7">
        <f t="shared" si="475"/>
        <v>38800</v>
      </c>
      <c r="I219" s="7">
        <f t="shared" si="476"/>
        <v>17.636363636363637</v>
      </c>
      <c r="J219" s="7">
        <v>0</v>
      </c>
      <c r="K219" s="7">
        <f>7500+31300</f>
        <v>38800</v>
      </c>
      <c r="L219" s="7">
        <f t="shared" si="477"/>
        <v>0</v>
      </c>
      <c r="M219" s="7">
        <f t="shared" si="478"/>
        <v>0</v>
      </c>
      <c r="N219" s="7">
        <v>0</v>
      </c>
      <c r="O219" s="7">
        <v>0</v>
      </c>
      <c r="P219" s="7">
        <f t="shared" si="479"/>
        <v>181200</v>
      </c>
      <c r="Q219" s="7">
        <f t="shared" si="480"/>
        <v>82.36363636363636</v>
      </c>
      <c r="R219" s="7">
        <f t="shared" si="481"/>
        <v>0</v>
      </c>
      <c r="S219" s="7">
        <f t="shared" si="482"/>
        <v>181200</v>
      </c>
    </row>
    <row r="220" spans="1:19" ht="30" customHeight="1" x14ac:dyDescent="0.5">
      <c r="A220" s="15">
        <v>198</v>
      </c>
      <c r="B220" s="53" t="str">
        <f>[24]รายการสรุป!$E$13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20" s="24" t="str">
        <f>[24]รายการสรุป!$I$13</f>
        <v>0700341027420081</v>
      </c>
      <c r="D220" s="6" t="s">
        <v>38</v>
      </c>
      <c r="E220" s="7">
        <f t="shared" ref="E220:E229" si="483">F220+G220</f>
        <v>470000</v>
      </c>
      <c r="F220" s="7">
        <v>0</v>
      </c>
      <c r="G220" s="8">
        <f>[24]รายการสรุป!$J$13</f>
        <v>470000</v>
      </c>
      <c r="H220" s="7">
        <f t="shared" ref="H220" si="484">J220+K220</f>
        <v>410519.35</v>
      </c>
      <c r="I220" s="7">
        <f t="shared" ref="I220" si="485">H220*100/E220</f>
        <v>87.344542553191488</v>
      </c>
      <c r="J220" s="7">
        <v>0</v>
      </c>
      <c r="K220" s="7">
        <f>10591+51120+9409.9+33747+2080+2320+51120+9280+35638.7+3120+5200+36750+1040+3120+94332.55+54570.2+2080+5000</f>
        <v>410519.35</v>
      </c>
      <c r="L220" s="7">
        <f t="shared" ref="L220" si="486">N220+O220</f>
        <v>0</v>
      </c>
      <c r="M220" s="7">
        <f t="shared" ref="M220" si="487">L220*100/E220</f>
        <v>0</v>
      </c>
      <c r="N220" s="7">
        <v>0</v>
      </c>
      <c r="O220" s="7">
        <v>0</v>
      </c>
      <c r="P220" s="7">
        <f t="shared" ref="P220" si="488">R220+S220</f>
        <v>59480.650000000023</v>
      </c>
      <c r="Q220" s="7">
        <f t="shared" ref="Q220" si="489">P220*100/E220</f>
        <v>12.655457446808514</v>
      </c>
      <c r="R220" s="7">
        <f t="shared" ref="R220" si="490">F220-J220-N220</f>
        <v>0</v>
      </c>
      <c r="S220" s="7">
        <f t="shared" ref="S220" si="491">G220-K220-O220</f>
        <v>59480.650000000023</v>
      </c>
    </row>
    <row r="221" spans="1:19" ht="47.25" customHeight="1" x14ac:dyDescent="0.5">
      <c r="A221" s="15">
        <v>199</v>
      </c>
      <c r="B221" s="53" t="str">
        <f>[24]รายการสรุป!$E$14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21" s="25" t="str">
        <f>[24]รายการสรุป!$I$14</f>
        <v>0700341027410206</v>
      </c>
      <c r="D221" s="6" t="s">
        <v>38</v>
      </c>
      <c r="E221" s="7">
        <f t="shared" ref="E221" si="492">F221+G221</f>
        <v>132000</v>
      </c>
      <c r="F221" s="7">
        <v>0</v>
      </c>
      <c r="G221" s="8">
        <f>[24]รายการสรุป!$J$14</f>
        <v>132000</v>
      </c>
      <c r="H221" s="7">
        <f t="shared" ref="H221" si="493">J221+K221</f>
        <v>131970</v>
      </c>
      <c r="I221" s="7">
        <f t="shared" ref="I221" si="494">H221*100/E221</f>
        <v>99.977272727272734</v>
      </c>
      <c r="J221" s="7">
        <v>0</v>
      </c>
      <c r="K221" s="7">
        <f>80070+51900</f>
        <v>131970</v>
      </c>
      <c r="L221" s="7">
        <f t="shared" ref="L221" si="495">N221+O221</f>
        <v>0</v>
      </c>
      <c r="M221" s="7">
        <f t="shared" ref="M221" si="496">L221*100/E221</f>
        <v>0</v>
      </c>
      <c r="N221" s="7">
        <v>0</v>
      </c>
      <c r="O221" s="7">
        <v>0</v>
      </c>
      <c r="P221" s="7">
        <f t="shared" ref="P221" si="497">R221+S221</f>
        <v>30</v>
      </c>
      <c r="Q221" s="7">
        <f t="shared" ref="Q221" si="498">P221*100/E221</f>
        <v>2.2727272727272728E-2</v>
      </c>
      <c r="R221" s="7">
        <f t="shared" ref="R221" si="499">F221-J221-N221</f>
        <v>0</v>
      </c>
      <c r="S221" s="7">
        <f t="shared" ref="S221" si="500">G221-K221-O221</f>
        <v>30</v>
      </c>
    </row>
    <row r="222" spans="1:19" ht="47.25" customHeight="1" x14ac:dyDescent="0.5">
      <c r="A222" s="15">
        <v>200</v>
      </c>
      <c r="B222" s="53" t="str">
        <f>[24]รายการสรุป!$E$15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2" s="25" t="str">
        <f>[24]รายการสรุป!$I$15</f>
        <v>0700341027420201</v>
      </c>
      <c r="D222" s="6" t="s">
        <v>38</v>
      </c>
      <c r="E222" s="7">
        <f t="shared" ref="E222:E224" si="501">F222+G222</f>
        <v>471000</v>
      </c>
      <c r="F222" s="7">
        <v>0</v>
      </c>
      <c r="G222" s="8">
        <f>[24]รายการสรุป!$J$15</f>
        <v>471000</v>
      </c>
      <c r="H222" s="7">
        <f t="shared" ref="H222:H223" si="502">J222+K222</f>
        <v>225957.95</v>
      </c>
      <c r="I222" s="7">
        <f t="shared" ref="I222:I223" si="503">H222*100/E222</f>
        <v>47.974087048832274</v>
      </c>
      <c r="J222" s="7">
        <v>0</v>
      </c>
      <c r="K222" s="7">
        <f>44163+44163+50794.45+37854+10383+1280+33815.5+3505</f>
        <v>225957.95</v>
      </c>
      <c r="L222" s="7">
        <f t="shared" ref="L222:L223" si="504">N222+O222</f>
        <v>0</v>
      </c>
      <c r="M222" s="7">
        <f t="shared" ref="M222:M223" si="505">L222*100/E222</f>
        <v>0</v>
      </c>
      <c r="N222" s="7">
        <v>0</v>
      </c>
      <c r="O222" s="7">
        <v>0</v>
      </c>
      <c r="P222" s="7">
        <f t="shared" ref="P222:P223" si="506">R222+S222</f>
        <v>245042.05</v>
      </c>
      <c r="Q222" s="7">
        <f t="shared" ref="Q222:Q224" si="507">P222*100/E222</f>
        <v>52.025912951167726</v>
      </c>
      <c r="R222" s="7">
        <f t="shared" ref="R222:R223" si="508">F222-J222-N222</f>
        <v>0</v>
      </c>
      <c r="S222" s="7">
        <f t="shared" ref="S222:S223" si="509">G222-K222-O222</f>
        <v>245042.05</v>
      </c>
    </row>
    <row r="223" spans="1:19" ht="44.25" customHeight="1" x14ac:dyDescent="0.5">
      <c r="A223" s="15">
        <v>201</v>
      </c>
      <c r="B223" s="53" t="str">
        <f>[24]รายการสรุป!$E$16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3" s="25" t="str">
        <f>[24]รายการสรุป!$I$16</f>
        <v>0700341027420202</v>
      </c>
      <c r="D223" s="6" t="s">
        <v>38</v>
      </c>
      <c r="E223" s="7">
        <f t="shared" si="501"/>
        <v>550000</v>
      </c>
      <c r="F223" s="7">
        <v>0</v>
      </c>
      <c r="G223" s="8">
        <f>[24]รายการสรุป!$J$16</f>
        <v>550000</v>
      </c>
      <c r="H223" s="7">
        <f t="shared" si="502"/>
        <v>436244.85000000003</v>
      </c>
      <c r="I223" s="7">
        <f t="shared" si="503"/>
        <v>79.317245454545457</v>
      </c>
      <c r="J223" s="7">
        <v>0</v>
      </c>
      <c r="K223" s="7">
        <f>41323.95+15000+3000+3001.8+4520+46055.7+21718.9+22562+7035+14512.7+21695.5+7256.35+9159+2080+6309+1040+2953.6+15520+79819.85+45159.4+45420+7256.35+2953.6+2402.15+3000+5490</f>
        <v>436244.85000000003</v>
      </c>
      <c r="L223" s="7">
        <f t="shared" si="504"/>
        <v>0</v>
      </c>
      <c r="M223" s="7">
        <f t="shared" si="505"/>
        <v>0</v>
      </c>
      <c r="N223" s="7">
        <v>0</v>
      </c>
      <c r="O223" s="7">
        <v>0</v>
      </c>
      <c r="P223" s="7">
        <f t="shared" si="506"/>
        <v>113755.14999999997</v>
      </c>
      <c r="Q223" s="7">
        <f t="shared" si="507"/>
        <v>20.682754545454539</v>
      </c>
      <c r="R223" s="7">
        <f t="shared" si="508"/>
        <v>0</v>
      </c>
      <c r="S223" s="7">
        <f t="shared" si="509"/>
        <v>113755.14999999997</v>
      </c>
    </row>
    <row r="224" spans="1:19" ht="35.25" customHeight="1" x14ac:dyDescent="0.5">
      <c r="A224" s="15"/>
      <c r="B224" s="48" t="s">
        <v>50</v>
      </c>
      <c r="C224" s="63"/>
      <c r="D224" s="63"/>
      <c r="E224" s="49">
        <f t="shared" si="501"/>
        <v>536000</v>
      </c>
      <c r="F224" s="49">
        <f>SUM(F225)</f>
        <v>0</v>
      </c>
      <c r="G224" s="49">
        <f>SUM(G225)</f>
        <v>536000</v>
      </c>
      <c r="H224" s="49">
        <f>J224+K224</f>
        <v>253860.84999999998</v>
      </c>
      <c r="I224" s="49">
        <f>H224*100/E224</f>
        <v>47.36209888059701</v>
      </c>
      <c r="J224" s="49">
        <f>SUM(J225)</f>
        <v>0</v>
      </c>
      <c r="K224" s="49">
        <f>SUM(K225)</f>
        <v>253860.84999999998</v>
      </c>
      <c r="L224" s="49">
        <f>N224+O224</f>
        <v>0</v>
      </c>
      <c r="M224" s="48"/>
      <c r="N224" s="49">
        <f>SUM(N228:N251)</f>
        <v>0</v>
      </c>
      <c r="O224" s="49">
        <f>SUM(O225)</f>
        <v>0</v>
      </c>
      <c r="P224" s="49">
        <f>R224+S224</f>
        <v>282139.15000000002</v>
      </c>
      <c r="Q224" s="7">
        <f t="shared" si="507"/>
        <v>52.63790111940299</v>
      </c>
      <c r="R224" s="49">
        <f>SUM(R225)</f>
        <v>0</v>
      </c>
      <c r="S224" s="49">
        <f>G224-K224-O224</f>
        <v>282139.15000000002</v>
      </c>
    </row>
    <row r="225" spans="1:20" ht="36.75" customHeight="1" x14ac:dyDescent="0.5">
      <c r="A225" s="15">
        <v>202</v>
      </c>
      <c r="B225" s="53" t="str">
        <f>[25]รายการสรุป!$E$5</f>
        <v>ปรับปรุงดาดคอนกรีตคลอง 2 L-LMC ฝายสาและอาคารประกอบโครงการชลประทานน่าน</v>
      </c>
      <c r="C225" s="25" t="str">
        <f>[25]รายการสรุป!$I$5</f>
        <v>0700341027420102</v>
      </c>
      <c r="D225" s="6" t="s">
        <v>49</v>
      </c>
      <c r="E225" s="7">
        <f t="shared" ref="E225:E226" si="510">F225+G225</f>
        <v>536000</v>
      </c>
      <c r="F225" s="7">
        <v>0</v>
      </c>
      <c r="G225" s="8">
        <f>[25]รายการสรุป!$J$5</f>
        <v>536000</v>
      </c>
      <c r="H225" s="7">
        <f t="shared" ref="H225" si="511">J225+K225</f>
        <v>253860.84999999998</v>
      </c>
      <c r="I225" s="7">
        <f t="shared" ref="I225" si="512">H225*100/E225</f>
        <v>47.36209888059701</v>
      </c>
      <c r="J225" s="7">
        <v>0</v>
      </c>
      <c r="K225" s="7">
        <f>18927+12600+18927+21310+21769.05+15040+36000+18927+20190.8+68890+1280</f>
        <v>253860.84999999998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282139.15000000002</v>
      </c>
      <c r="Q225" s="7">
        <f t="shared" ref="Q225:Q226" si="516">P225*100/E225</f>
        <v>52.63790111940299</v>
      </c>
      <c r="R225" s="7">
        <f t="shared" ref="R225" si="517">F225-J225-N225</f>
        <v>0</v>
      </c>
      <c r="S225" s="7">
        <f t="shared" ref="S225" si="518">G225-K225-O225</f>
        <v>282139.15000000002</v>
      </c>
    </row>
    <row r="226" spans="1:20" ht="28.5" customHeight="1" x14ac:dyDescent="0.5">
      <c r="A226" s="15"/>
      <c r="B226" s="48" t="s">
        <v>51</v>
      </c>
      <c r="C226" s="63"/>
      <c r="D226" s="63"/>
      <c r="E226" s="49">
        <f t="shared" si="510"/>
        <v>484700</v>
      </c>
      <c r="F226" s="49">
        <f>SUM(F227)</f>
        <v>0</v>
      </c>
      <c r="G226" s="49">
        <f>SUM(G227)</f>
        <v>484700</v>
      </c>
      <c r="H226" s="49">
        <f>J226+K226</f>
        <v>266284.15000000002</v>
      </c>
      <c r="I226" s="49">
        <f>H226*100/E226</f>
        <v>54.937930678770378</v>
      </c>
      <c r="J226" s="49">
        <f>SUM(J227)</f>
        <v>0</v>
      </c>
      <c r="K226" s="49">
        <f>SUM(K227)</f>
        <v>266284.15000000002</v>
      </c>
      <c r="L226" s="49">
        <f>N226+O226</f>
        <v>0</v>
      </c>
      <c r="M226" s="48"/>
      <c r="N226" s="49">
        <f>SUM(N231:N278)</f>
        <v>0</v>
      </c>
      <c r="O226" s="49">
        <f>SUM(O227)</f>
        <v>0</v>
      </c>
      <c r="P226" s="49">
        <f>R226+S226</f>
        <v>218415.84999999998</v>
      </c>
      <c r="Q226" s="7">
        <f t="shared" si="516"/>
        <v>45.062069321229622</v>
      </c>
      <c r="R226" s="49">
        <f>F226-J226-N226</f>
        <v>0</v>
      </c>
      <c r="S226" s="49">
        <f>G226-K226-O226</f>
        <v>218415.84999999998</v>
      </c>
    </row>
    <row r="227" spans="1:20" ht="47.25" customHeight="1" x14ac:dyDescent="0.5">
      <c r="A227" s="15">
        <v>203</v>
      </c>
      <c r="B227" s="53" t="str">
        <f>[26]รายการสรุป!$E$5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7" s="25" t="str">
        <f>[26]รายการสรุป!$I$5</f>
        <v>0700341027420005</v>
      </c>
      <c r="D227" s="6" t="s">
        <v>49</v>
      </c>
      <c r="E227" s="7">
        <f t="shared" ref="E227" si="519">F227+G227</f>
        <v>484700</v>
      </c>
      <c r="F227" s="7">
        <v>0</v>
      </c>
      <c r="G227" s="8">
        <f>[26]รายการสรุป!$J$5</f>
        <v>484700</v>
      </c>
      <c r="H227" s="7">
        <f t="shared" ref="H227" si="520">J227+K227</f>
        <v>266284.15000000002</v>
      </c>
      <c r="I227" s="7">
        <f t="shared" ref="I227" si="521">H227*100/E227</f>
        <v>54.937930678770378</v>
      </c>
      <c r="J227" s="7">
        <v>0</v>
      </c>
      <c r="K227" s="7">
        <f>2560+8816+17950+50472+78228.8+1280+1040+6240+4778+21453.6+36281.75+11866+25318</f>
        <v>266284.15000000002</v>
      </c>
      <c r="L227" s="7">
        <f t="shared" ref="L227" si="522">N227+O227</f>
        <v>0</v>
      </c>
      <c r="M227" s="7">
        <f t="shared" ref="M227" si="523">L227*100/E227</f>
        <v>0</v>
      </c>
      <c r="N227" s="7">
        <v>0</v>
      </c>
      <c r="O227" s="7">
        <v>0</v>
      </c>
      <c r="P227" s="7">
        <f t="shared" ref="P227" si="524">R227+S227</f>
        <v>218415.84999999998</v>
      </c>
      <c r="Q227" s="7">
        <f t="shared" ref="Q227" si="525">P227*100/E227</f>
        <v>45.062069321229622</v>
      </c>
      <c r="R227" s="7">
        <f t="shared" ref="R227" si="526">F227-J227-N227</f>
        <v>0</v>
      </c>
      <c r="S227" s="7">
        <f t="shared" ref="S227" si="527">G227-K227-O227</f>
        <v>218415.84999999998</v>
      </c>
    </row>
    <row r="228" spans="1:20" ht="30" customHeight="1" x14ac:dyDescent="0.5">
      <c r="A228" s="15"/>
      <c r="B228" s="50" t="s">
        <v>44</v>
      </c>
      <c r="C228" s="65"/>
      <c r="D228" s="62"/>
      <c r="E228" s="51">
        <f t="shared" si="483"/>
        <v>19718300</v>
      </c>
      <c r="F228" s="52">
        <f>F229+F236</f>
        <v>0</v>
      </c>
      <c r="G228" s="51">
        <f>G229+G236+G247+G252+G254+G264+G269+G273+G275</f>
        <v>19718300</v>
      </c>
      <c r="H228" s="52">
        <f>J228+K228</f>
        <v>14862904.429999998</v>
      </c>
      <c r="I228" s="52">
        <f>H228*100/E228</f>
        <v>75.376195868812204</v>
      </c>
      <c r="J228" s="50">
        <v>0</v>
      </c>
      <c r="K228" s="52">
        <f>K229+K236+K247+K252+K254+K264+K269+K273+K275</f>
        <v>14862904.429999998</v>
      </c>
      <c r="L228" s="52">
        <f>N228+O228</f>
        <v>0</v>
      </c>
      <c r="M228" s="50">
        <f>L228*100/E228</f>
        <v>0</v>
      </c>
      <c r="N228" s="50">
        <v>0</v>
      </c>
      <c r="O228" s="52">
        <f>O229+O236+O247+O252+O254+O264+O269+O273</f>
        <v>0</v>
      </c>
      <c r="P228" s="52">
        <f>R228+S228</f>
        <v>4855395.5700000022</v>
      </c>
      <c r="Q228" s="51">
        <f>P228*100/E228</f>
        <v>24.623804131187793</v>
      </c>
      <c r="R228" s="50">
        <v>0</v>
      </c>
      <c r="S228" s="52">
        <f>G228-K228-O228</f>
        <v>4855395.5700000022</v>
      </c>
      <c r="T228" s="26">
        <f>I228+Q228</f>
        <v>100</v>
      </c>
    </row>
    <row r="229" spans="1:20" ht="30.75" customHeight="1" x14ac:dyDescent="0.5">
      <c r="A229" s="15"/>
      <c r="B229" s="48" t="s">
        <v>57</v>
      </c>
      <c r="C229" s="63"/>
      <c r="D229" s="63"/>
      <c r="E229" s="61">
        <f t="shared" si="483"/>
        <v>2519000</v>
      </c>
      <c r="F229" s="49">
        <f>SUM(F230:F235)</f>
        <v>0</v>
      </c>
      <c r="G229" s="49">
        <f>SUM(G230:G235)</f>
        <v>2519000</v>
      </c>
      <c r="H229" s="48"/>
      <c r="I229" s="49">
        <f>H229*100/E229</f>
        <v>0</v>
      </c>
      <c r="J229" s="48"/>
      <c r="K229" s="49">
        <f>SUM(K230:K235)</f>
        <v>1341131.6000000001</v>
      </c>
      <c r="L229" s="48"/>
      <c r="M229" s="48"/>
      <c r="N229" s="48"/>
      <c r="O229" s="49">
        <f>SUM(O230:O235)</f>
        <v>0</v>
      </c>
      <c r="P229" s="49">
        <f>R229+S229</f>
        <v>1177868.3999999999</v>
      </c>
      <c r="Q229" s="49">
        <f>P229*100/E229</f>
        <v>46.759364827312417</v>
      </c>
      <c r="R229" s="49">
        <v>0</v>
      </c>
      <c r="S229" s="49">
        <f>G229-K229-O229</f>
        <v>1177868.3999999999</v>
      </c>
    </row>
    <row r="230" spans="1:20" ht="37.5" customHeight="1" x14ac:dyDescent="0.5">
      <c r="A230" s="15">
        <v>204</v>
      </c>
      <c r="B230" s="53" t="str">
        <f>[27]รายการสรุป!$E$5</f>
        <v>ฝายนาวัวพร้อมระบบส่งน้ำ อ.ปัว จ.น่าน</v>
      </c>
      <c r="C230" s="24" t="str">
        <f>[27]รายการสรุป!$I$5</f>
        <v>0700341028420223</v>
      </c>
      <c r="D230" s="6" t="s">
        <v>38</v>
      </c>
      <c r="E230" s="7">
        <f t="shared" ref="E230" si="528">F230+G230</f>
        <v>491000</v>
      </c>
      <c r="F230" s="7">
        <v>0</v>
      </c>
      <c r="G230" s="8">
        <f>[27]รายการสรุป!$J$5</f>
        <v>491000</v>
      </c>
      <c r="H230" s="7">
        <f t="shared" ref="H230" si="529">J230+K230</f>
        <v>343879.5</v>
      </c>
      <c r="I230" s="7">
        <f t="shared" ref="I230" si="530">H230*100/E230</f>
        <v>70.036558044806512</v>
      </c>
      <c r="J230" s="7">
        <v>0</v>
      </c>
      <c r="K230" s="7">
        <f>217690.5+126189</f>
        <v>343879.5</v>
      </c>
      <c r="L230" s="7">
        <f t="shared" ref="L230" si="531">N230+O230</f>
        <v>0</v>
      </c>
      <c r="M230" s="7">
        <f t="shared" ref="M230" si="532">L230*100/E230</f>
        <v>0</v>
      </c>
      <c r="N230" s="7">
        <v>0</v>
      </c>
      <c r="O230" s="7">
        <v>0</v>
      </c>
      <c r="P230" s="7">
        <f t="shared" ref="P230" si="533">R230+S230</f>
        <v>147120.5</v>
      </c>
      <c r="Q230" s="7">
        <f t="shared" ref="Q230" si="534">P230*100/E230</f>
        <v>29.963441955193481</v>
      </c>
      <c r="R230" s="7">
        <f t="shared" ref="R230" si="535">F230-J230-N230</f>
        <v>0</v>
      </c>
      <c r="S230" s="7">
        <f t="shared" ref="S230" si="536">G230-K230-O230</f>
        <v>147120.5</v>
      </c>
    </row>
    <row r="231" spans="1:20" ht="30" customHeight="1" x14ac:dyDescent="0.5">
      <c r="A231" s="15">
        <v>205</v>
      </c>
      <c r="B231" s="53" t="str">
        <f>[27]รายการสรุป!$E$6</f>
        <v>ฝายน้ำสางพร้อมระบบส่งน้ำ อ.บ่อเกลือ จ.น่าน</v>
      </c>
      <c r="C231" s="24" t="str">
        <f>[27]รายการสรุป!$I$6</f>
        <v>0700341028420158</v>
      </c>
      <c r="D231" s="6" t="s">
        <v>38</v>
      </c>
      <c r="E231" s="7">
        <f t="shared" ref="E231:E233" si="537">F231+G231</f>
        <v>473000</v>
      </c>
      <c r="F231" s="7">
        <v>0</v>
      </c>
      <c r="G231" s="8">
        <f>[27]รายการสรุป!$J$6</f>
        <v>473000</v>
      </c>
      <c r="H231" s="7">
        <f t="shared" ref="H231:H233" si="538">J231+K231</f>
        <v>236565.45</v>
      </c>
      <c r="I231" s="7">
        <f t="shared" ref="I231:I233" si="539">H231*100/E231</f>
        <v>50.013837209302324</v>
      </c>
      <c r="J231" s="7">
        <v>0</v>
      </c>
      <c r="K231" s="7">
        <f>49210.2+39240.5+6960+33600+57103.45+50451.3</f>
        <v>236565.45</v>
      </c>
      <c r="L231" s="7">
        <f t="shared" ref="L231:L233" si="540">N231+O231</f>
        <v>0</v>
      </c>
      <c r="M231" s="7">
        <f t="shared" ref="M231:M233" si="541">L231*100/E231</f>
        <v>0</v>
      </c>
      <c r="N231" s="7">
        <v>0</v>
      </c>
      <c r="O231" s="7">
        <v>0</v>
      </c>
      <c r="P231" s="7">
        <f t="shared" ref="P231:P233" si="542">R231+S231</f>
        <v>236434.55</v>
      </c>
      <c r="Q231" s="7">
        <f t="shared" ref="Q231:Q233" si="543">P231*100/E231</f>
        <v>49.986162790697676</v>
      </c>
      <c r="R231" s="7">
        <f t="shared" ref="R231:R233" si="544">F231-J231-N231</f>
        <v>0</v>
      </c>
      <c r="S231" s="7">
        <f t="shared" ref="S231:S233" si="545">G231-K231-O231</f>
        <v>236434.55</v>
      </c>
    </row>
    <row r="232" spans="1:20" ht="30" customHeight="1" x14ac:dyDescent="0.5">
      <c r="A232" s="15">
        <v>206</v>
      </c>
      <c r="B232" s="53" t="str">
        <f>[27]รายการสรุป!$E$7</f>
        <v>ฝายห้วยโป่ง อ.เวียงแก่น จ.เชียงราย</v>
      </c>
      <c r="C232" s="24" t="str">
        <f>[27]รายการสรุป!$I$7</f>
        <v>0700341028410044</v>
      </c>
      <c r="D232" s="6" t="s">
        <v>38</v>
      </c>
      <c r="E232" s="7">
        <f t="shared" si="537"/>
        <v>0</v>
      </c>
      <c r="F232" s="7">
        <v>0</v>
      </c>
      <c r="G232" s="8">
        <f>[27]รายการสรุป!$J$7</f>
        <v>0</v>
      </c>
      <c r="H232" s="7">
        <f t="shared" si="538"/>
        <v>0</v>
      </c>
      <c r="I232" s="7" t="e">
        <f t="shared" si="539"/>
        <v>#DIV/0!</v>
      </c>
      <c r="J232" s="7">
        <v>0</v>
      </c>
      <c r="K232" s="7">
        <v>0</v>
      </c>
      <c r="L232" s="7">
        <f t="shared" si="540"/>
        <v>0</v>
      </c>
      <c r="M232" s="7" t="e">
        <f t="shared" si="541"/>
        <v>#DIV/0!</v>
      </c>
      <c r="N232" s="7">
        <v>0</v>
      </c>
      <c r="O232" s="7">
        <v>0</v>
      </c>
      <c r="P232" s="7">
        <f t="shared" si="542"/>
        <v>0</v>
      </c>
      <c r="Q232" s="7" t="e">
        <f t="shared" si="543"/>
        <v>#DIV/0!</v>
      </c>
      <c r="R232" s="7">
        <f t="shared" si="544"/>
        <v>0</v>
      </c>
      <c r="S232" s="7">
        <f t="shared" si="545"/>
        <v>0</v>
      </c>
      <c r="T232" s="1" t="s">
        <v>82</v>
      </c>
    </row>
    <row r="233" spans="1:20" ht="30" customHeight="1" x14ac:dyDescent="0.5">
      <c r="A233" s="15">
        <v>207</v>
      </c>
      <c r="B233" s="53" t="str">
        <f>[27]รายการสรุป!$E$8</f>
        <v>อ่างเก็บน้ำแม่อางพร้อมระบบส่งน้ำ อ.แม่ทะ จ.ลำปาง</v>
      </c>
      <c r="C233" s="24" t="str">
        <f>[27]รายการสรุป!$I$8</f>
        <v>0700341028420124</v>
      </c>
      <c r="D233" s="6" t="s">
        <v>38</v>
      </c>
      <c r="E233" s="7">
        <f t="shared" si="537"/>
        <v>518000</v>
      </c>
      <c r="F233" s="7">
        <v>0</v>
      </c>
      <c r="G233" s="8">
        <f>[27]รายการสรุป!$J$8</f>
        <v>518000</v>
      </c>
      <c r="H233" s="7">
        <f t="shared" si="538"/>
        <v>362861.65</v>
      </c>
      <c r="I233" s="7">
        <f t="shared" si="539"/>
        <v>70.050511583011584</v>
      </c>
      <c r="J233" s="7">
        <v>0</v>
      </c>
      <c r="K233" s="7">
        <f>166896.05+195965.6</f>
        <v>362861.65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155138.34999999998</v>
      </c>
      <c r="Q233" s="7">
        <f t="shared" si="543"/>
        <v>29.949488416988412</v>
      </c>
      <c r="R233" s="7">
        <f t="shared" si="544"/>
        <v>0</v>
      </c>
      <c r="S233" s="7">
        <f t="shared" si="545"/>
        <v>155138.34999999998</v>
      </c>
    </row>
    <row r="234" spans="1:20" ht="30" customHeight="1" x14ac:dyDescent="0.5">
      <c r="A234" s="15">
        <v>208</v>
      </c>
      <c r="B234" s="53" t="str">
        <f>[27]รายการสรุป!$E$9</f>
        <v>ฝายมะโอพร้อมระบบส่งน้ำ อ.เทิง จ.เชียงราย</v>
      </c>
      <c r="C234" s="24" t="str">
        <f>[27]รายการสรุป!$I$9</f>
        <v>0700341028420189</v>
      </c>
      <c r="D234" s="6" t="s">
        <v>52</v>
      </c>
      <c r="E234" s="7">
        <f t="shared" ref="E234:E236" si="546">F234+G234</f>
        <v>489700</v>
      </c>
      <c r="F234" s="7">
        <v>0</v>
      </c>
      <c r="G234" s="8">
        <f>[27]รายการสรุป!$J$9</f>
        <v>489700</v>
      </c>
      <c r="H234" s="7">
        <f t="shared" ref="H234:H235" si="547">J234+K234</f>
        <v>0</v>
      </c>
      <c r="I234" s="7">
        <f t="shared" ref="I234:I235" si="548">H234*100/E234</f>
        <v>0</v>
      </c>
      <c r="J234" s="7">
        <v>0</v>
      </c>
      <c r="K234" s="7">
        <v>0</v>
      </c>
      <c r="L234" s="7">
        <f t="shared" ref="L234:L235" si="549">N234+O234</f>
        <v>0</v>
      </c>
      <c r="M234" s="7">
        <f t="shared" ref="M234:M235" si="550">L234*100/E234</f>
        <v>0</v>
      </c>
      <c r="N234" s="7">
        <v>0</v>
      </c>
      <c r="O234" s="7">
        <v>0</v>
      </c>
      <c r="P234" s="7">
        <f t="shared" ref="P234:P235" si="551">R234+S234</f>
        <v>489700</v>
      </c>
      <c r="Q234" s="7">
        <f t="shared" ref="Q234:Q236" si="552">P234*100/E234</f>
        <v>100</v>
      </c>
      <c r="R234" s="7">
        <f t="shared" ref="R234:R235" si="553">F234-J234-N234</f>
        <v>0</v>
      </c>
      <c r="S234" s="7">
        <f t="shared" ref="S234:S235" si="554">G234-K234-O234</f>
        <v>489700</v>
      </c>
    </row>
    <row r="235" spans="1:20" ht="30" customHeight="1" x14ac:dyDescent="0.5">
      <c r="A235" s="15">
        <v>209</v>
      </c>
      <c r="B235" s="53" t="str">
        <f>[27]รายการสรุป!$E$10</f>
        <v>อ่างเก็บน้ำห้วยแก่น อ.จุน จ.พะเยา</v>
      </c>
      <c r="C235" s="24" t="str">
        <f>[27]รายการสรุป!$I$10</f>
        <v>0700341028420222</v>
      </c>
      <c r="D235" s="6" t="s">
        <v>52</v>
      </c>
      <c r="E235" s="7">
        <f t="shared" si="546"/>
        <v>547300</v>
      </c>
      <c r="F235" s="7">
        <v>0</v>
      </c>
      <c r="G235" s="8">
        <f>[27]รายการสรุป!$J$10</f>
        <v>547300</v>
      </c>
      <c r="H235" s="7">
        <f t="shared" si="547"/>
        <v>397825</v>
      </c>
      <c r="I235" s="7">
        <f t="shared" si="548"/>
        <v>72.688653389365982</v>
      </c>
      <c r="J235" s="7">
        <v>0</v>
      </c>
      <c r="K235" s="7">
        <f>59935.5+51054+72563.5+50072+164200</f>
        <v>397825</v>
      </c>
      <c r="L235" s="7">
        <f t="shared" si="549"/>
        <v>0</v>
      </c>
      <c r="M235" s="7">
        <f t="shared" si="550"/>
        <v>0</v>
      </c>
      <c r="N235" s="7">
        <v>0</v>
      </c>
      <c r="O235" s="7">
        <v>0</v>
      </c>
      <c r="P235" s="7">
        <f t="shared" si="551"/>
        <v>149475</v>
      </c>
      <c r="Q235" s="7">
        <f t="shared" si="552"/>
        <v>27.311346610634022</v>
      </c>
      <c r="R235" s="7">
        <f t="shared" si="553"/>
        <v>0</v>
      </c>
      <c r="S235" s="7">
        <f t="shared" si="554"/>
        <v>149475</v>
      </c>
    </row>
    <row r="236" spans="1:20" ht="36" customHeight="1" x14ac:dyDescent="0.5">
      <c r="A236" s="15"/>
      <c r="B236" s="48" t="s">
        <v>56</v>
      </c>
      <c r="C236" s="63"/>
      <c r="D236" s="63"/>
      <c r="E236" s="49">
        <f t="shared" si="546"/>
        <v>7683600</v>
      </c>
      <c r="F236" s="49">
        <f>SUM(F237)</f>
        <v>0</v>
      </c>
      <c r="G236" s="49">
        <f>SUM(G237:G246)</f>
        <v>7683600</v>
      </c>
      <c r="H236" s="49">
        <f>J236+K236</f>
        <v>5977092.0199999996</v>
      </c>
      <c r="I236" s="49">
        <f>H236*100/E236</f>
        <v>77.79025482846582</v>
      </c>
      <c r="J236" s="49">
        <f>SUM(J237:J246)</f>
        <v>0</v>
      </c>
      <c r="K236" s="49">
        <f>SUM(K237:K246)</f>
        <v>5977092.0199999996</v>
      </c>
      <c r="L236" s="49">
        <f>N236+O236</f>
        <v>0</v>
      </c>
      <c r="M236" s="48"/>
      <c r="N236" s="49">
        <f>SUM(N277:N288)</f>
        <v>0</v>
      </c>
      <c r="O236" s="49">
        <f>SUM(O237:O242)</f>
        <v>0</v>
      </c>
      <c r="P236" s="49">
        <f>R236+S236</f>
        <v>1706507.9800000004</v>
      </c>
      <c r="Q236" s="7">
        <f t="shared" si="552"/>
        <v>22.209745171534184</v>
      </c>
      <c r="R236" s="49">
        <f>SUM(R237)</f>
        <v>0</v>
      </c>
      <c r="S236" s="49">
        <f>G236-K236-O236</f>
        <v>1706507.9800000004</v>
      </c>
    </row>
    <row r="237" spans="1:20" ht="48.75" customHeight="1" x14ac:dyDescent="0.5">
      <c r="A237" s="15">
        <v>210</v>
      </c>
      <c r="B237" s="53" t="str">
        <f>[28]รายการสรุป!$E$5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7" s="24" t="str">
        <f>[28]รายการสรุป!$I$5</f>
        <v>0700341028420106</v>
      </c>
      <c r="D237" s="6" t="s">
        <v>55</v>
      </c>
      <c r="E237" s="7">
        <f t="shared" ref="E237" si="555">F237+G237</f>
        <v>2753000</v>
      </c>
      <c r="F237" s="7">
        <v>0</v>
      </c>
      <c r="G237" s="8">
        <f>[28]รายการสรุป!$J$5</f>
        <v>2753000</v>
      </c>
      <c r="H237" s="7">
        <f t="shared" ref="H237" si="556">J237+K237</f>
        <v>2749810.1199999996</v>
      </c>
      <c r="I237" s="7">
        <f t="shared" ref="I237" si="557">H237*100/E237</f>
        <v>99.884130766436598</v>
      </c>
      <c r="J237" s="7">
        <v>0</v>
      </c>
      <c r="K237" s="7">
        <f>24983.44+61387+145353.3+22188+53380+61071.75+99952.32+251415+495350+245280+99900+94054.9+65143.2+97450+85495+69214.65+86050+87000+85800+97500+87500+99500+93100+96850+69875-24983.44</f>
        <v>2749810.1199999996</v>
      </c>
      <c r="L237" s="7">
        <f t="shared" ref="L237" si="558">N237+O237</f>
        <v>0</v>
      </c>
      <c r="M237" s="7">
        <f t="shared" ref="M237" si="559">L237*100/E237</f>
        <v>0</v>
      </c>
      <c r="N237" s="7">
        <v>0</v>
      </c>
      <c r="O237" s="7">
        <v>0</v>
      </c>
      <c r="P237" s="7">
        <f t="shared" ref="P237" si="560">R237+S237</f>
        <v>3189.8800000003539</v>
      </c>
      <c r="Q237" s="7">
        <f t="shared" ref="Q237" si="561">P237*100/E237</f>
        <v>0.11586923356339825</v>
      </c>
      <c r="R237" s="7">
        <f t="shared" ref="R237" si="562">F237-J237-N237</f>
        <v>0</v>
      </c>
      <c r="S237" s="7">
        <f t="shared" ref="S237" si="563">G237-K237-O237</f>
        <v>3189.8800000003539</v>
      </c>
    </row>
    <row r="238" spans="1:20" ht="30" customHeight="1" x14ac:dyDescent="0.5">
      <c r="A238" s="15">
        <v>211</v>
      </c>
      <c r="B238" s="53" t="str">
        <f>[28]รายการสรุป!$E$6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8" s="24" t="str">
        <f>[28]รายการสรุป!$I$6</f>
        <v>0700341028420106</v>
      </c>
      <c r="D238" s="6" t="s">
        <v>55</v>
      </c>
      <c r="E238" s="7">
        <f t="shared" ref="E238:E247" si="564">F238+G238</f>
        <v>1446000</v>
      </c>
      <c r="F238" s="7">
        <v>0</v>
      </c>
      <c r="G238" s="8">
        <f>[28]รายการสรุป!$J$6</f>
        <v>1446000</v>
      </c>
      <c r="H238" s="7">
        <f t="shared" ref="H238" si="565">J238+K238</f>
        <v>1409187.73</v>
      </c>
      <c r="I238" s="7">
        <f t="shared" ref="I238" si="566">H238*100/E238</f>
        <v>97.454199861687414</v>
      </c>
      <c r="J238" s="7">
        <v>0</v>
      </c>
      <c r="K238" s="7">
        <f>84000+28000+77950+49122+95700.94+55335+85500+73110+82090+86710+84275+59150+43500+46962+98330.35+65143.2+85495+85500.45+98330.35+24983.44</f>
        <v>1409187.73</v>
      </c>
      <c r="L238" s="7">
        <f t="shared" ref="L238" si="567">N238+O238</f>
        <v>0</v>
      </c>
      <c r="M238" s="7">
        <f t="shared" ref="M238" si="568">L238*100/E238</f>
        <v>0</v>
      </c>
      <c r="N238" s="7">
        <v>0</v>
      </c>
      <c r="O238" s="7">
        <v>0</v>
      </c>
      <c r="P238" s="7">
        <f t="shared" ref="P238" si="569">R238+S238</f>
        <v>36812.270000000019</v>
      </c>
      <c r="Q238" s="7">
        <f t="shared" ref="Q238:Q247" si="570">P238*100/E238</f>
        <v>2.5458001383125879</v>
      </c>
      <c r="R238" s="7">
        <f t="shared" ref="R238" si="571">F238-J238-N238</f>
        <v>0</v>
      </c>
      <c r="S238" s="7">
        <f t="shared" ref="S238" si="572">G238-K238-O238</f>
        <v>36812.270000000019</v>
      </c>
    </row>
    <row r="239" spans="1:20" ht="30" customHeight="1" x14ac:dyDescent="0.5">
      <c r="A239" s="15">
        <v>212</v>
      </c>
      <c r="B239" s="53" t="str">
        <f>[28]รายการสรุป!$E$7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9" s="24" t="str">
        <f>[28]รายการสรุป!$I$7</f>
        <v>0700341028420106</v>
      </c>
      <c r="D239" s="6" t="s">
        <v>86</v>
      </c>
      <c r="E239" s="7">
        <f t="shared" ref="E239" si="573">F239+G239</f>
        <v>831400</v>
      </c>
      <c r="F239" s="7">
        <v>0</v>
      </c>
      <c r="G239" s="8">
        <f>[28]รายการสรุป!$J$7</f>
        <v>831400</v>
      </c>
      <c r="H239" s="7">
        <f t="shared" ref="H239" si="574">J239+K239</f>
        <v>737694.99999999988</v>
      </c>
      <c r="I239" s="7">
        <f t="shared" ref="I239" si="575">H239*100/E239</f>
        <v>88.729251864325221</v>
      </c>
      <c r="J239" s="7">
        <v>0</v>
      </c>
      <c r="K239" s="7">
        <f>11483+69394+79000+5590+41143.3+89280+57230.2+6096+3040+42210+58101.6+48546.3+18320+49590+55481.6+7900+2250+25850+8566+4640+6546+11317+15000+8240+12880</f>
        <v>737694.99999999988</v>
      </c>
      <c r="L239" s="7">
        <f t="shared" ref="L239" si="576">N239+O239</f>
        <v>0</v>
      </c>
      <c r="M239" s="7">
        <f t="shared" ref="M239" si="577">L239*100/E239</f>
        <v>0</v>
      </c>
      <c r="N239" s="7">
        <v>0</v>
      </c>
      <c r="O239" s="7">
        <v>0</v>
      </c>
      <c r="P239" s="7">
        <f t="shared" ref="P239" si="578">R239+S239</f>
        <v>93705.000000000116</v>
      </c>
      <c r="Q239" s="7">
        <f t="shared" ref="Q239" si="579">P239*100/E239</f>
        <v>11.270748135674779</v>
      </c>
      <c r="R239" s="7">
        <f t="shared" ref="R239" si="580">F239-J239-N239</f>
        <v>0</v>
      </c>
      <c r="S239" s="7">
        <f t="shared" ref="S239" si="581">G239-K239-O239</f>
        <v>93705.000000000116</v>
      </c>
    </row>
    <row r="240" spans="1:20" ht="30" customHeight="1" x14ac:dyDescent="0.5">
      <c r="A240" s="15">
        <v>213</v>
      </c>
      <c r="B240" s="53" t="str">
        <f>[28]รายการสรุป!$E$8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40" s="24" t="str">
        <f>[28]รายการสรุป!$I$8</f>
        <v>0700341028420106</v>
      </c>
      <c r="D240" s="6" t="s">
        <v>86</v>
      </c>
      <c r="E240" s="7">
        <f t="shared" ref="E240:E242" si="582">F240+G240</f>
        <v>932500</v>
      </c>
      <c r="F240" s="7">
        <v>0</v>
      </c>
      <c r="G240" s="8">
        <f>[28]รายการสรุป!$J$8</f>
        <v>932500</v>
      </c>
      <c r="H240" s="7">
        <f t="shared" ref="H240:H242" si="583">J240+K240</f>
        <v>650044.67000000004</v>
      </c>
      <c r="I240" s="7">
        <f t="shared" ref="I240:I242" si="584">H240*100/E240</f>
        <v>69.709884182305643</v>
      </c>
      <c r="J240" s="7">
        <v>0</v>
      </c>
      <c r="K240" s="7">
        <f>26777.25+30989.9+8131+78270+96580+7726.92+14407+6640+65493+1860+35731.3+7229+83290+29887+12360+2800+6740+48546.3+2090+43181.8+7450+16903.2+7542+9419</f>
        <v>650044.67000000004</v>
      </c>
      <c r="L240" s="7">
        <f t="shared" ref="L240:L242" si="585">N240+O240</f>
        <v>0</v>
      </c>
      <c r="M240" s="7">
        <f t="shared" ref="M240:M242" si="586">L240*100/E240</f>
        <v>0</v>
      </c>
      <c r="N240" s="7">
        <v>0</v>
      </c>
      <c r="O240" s="7">
        <v>0</v>
      </c>
      <c r="P240" s="7">
        <f t="shared" ref="P240:P242" si="587">R240+S240</f>
        <v>282455.32999999996</v>
      </c>
      <c r="Q240" s="7">
        <f t="shared" ref="Q240:Q242" si="588">P240*100/E240</f>
        <v>30.290115817694367</v>
      </c>
      <c r="R240" s="7">
        <f t="shared" ref="R240:R242" si="589">F240-J240-N240</f>
        <v>0</v>
      </c>
      <c r="S240" s="7">
        <f t="shared" ref="S240:S242" si="590">G240-K240-O240</f>
        <v>282455.32999999996</v>
      </c>
    </row>
    <row r="241" spans="1:20" ht="30" customHeight="1" x14ac:dyDescent="0.5">
      <c r="A241" s="15">
        <v>214</v>
      </c>
      <c r="B241" s="53" t="str">
        <f>[28]รายการสรุป!$E$9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41" s="24" t="str">
        <f>[28]รายการสรุป!$I$9</f>
        <v>0700341028420106</v>
      </c>
      <c r="D241" s="6" t="s">
        <v>86</v>
      </c>
      <c r="E241" s="7">
        <f t="shared" si="582"/>
        <v>915800</v>
      </c>
      <c r="F241" s="7">
        <v>0</v>
      </c>
      <c r="G241" s="8">
        <f>[28]รายการสรุป!$J$9</f>
        <v>915800</v>
      </c>
      <c r="H241" s="7">
        <f t="shared" si="583"/>
        <v>0</v>
      </c>
      <c r="I241" s="7">
        <f t="shared" si="584"/>
        <v>0</v>
      </c>
      <c r="J241" s="7">
        <v>0</v>
      </c>
      <c r="K241" s="7">
        <v>0</v>
      </c>
      <c r="L241" s="7">
        <f t="shared" si="585"/>
        <v>0</v>
      </c>
      <c r="M241" s="7">
        <f t="shared" si="586"/>
        <v>0</v>
      </c>
      <c r="N241" s="7">
        <v>0</v>
      </c>
      <c r="O241" s="7">
        <v>0</v>
      </c>
      <c r="P241" s="7">
        <f t="shared" si="587"/>
        <v>915800</v>
      </c>
      <c r="Q241" s="7">
        <f t="shared" si="588"/>
        <v>100</v>
      </c>
      <c r="R241" s="7">
        <f t="shared" si="589"/>
        <v>0</v>
      </c>
      <c r="S241" s="7">
        <f t="shared" si="590"/>
        <v>915800</v>
      </c>
    </row>
    <row r="242" spans="1:20" ht="45.75" customHeight="1" x14ac:dyDescent="0.5">
      <c r="A242" s="15">
        <v>215</v>
      </c>
      <c r="B242" s="53" t="str">
        <f>[28]รายการสรุป!$E$10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2" s="24" t="str">
        <f>[28]รายการสรุป!$I$10</f>
        <v>0700341028420106</v>
      </c>
      <c r="D242" s="6" t="s">
        <v>86</v>
      </c>
      <c r="E242" s="7">
        <f t="shared" si="582"/>
        <v>335200</v>
      </c>
      <c r="F242" s="7">
        <v>0</v>
      </c>
      <c r="G242" s="8">
        <f>[28]รายการสรุป!$J$10</f>
        <v>335200</v>
      </c>
      <c r="H242" s="7">
        <f t="shared" si="583"/>
        <v>198929.50000000006</v>
      </c>
      <c r="I242" s="7">
        <f t="shared" si="584"/>
        <v>59.346509546539401</v>
      </c>
      <c r="J242" s="7">
        <v>0</v>
      </c>
      <c r="K242" s="7">
        <f>43184+8800+62500+6309+4807.2+3360+4400+8800+7256.35+2646+4400+4807.2+2320+6309+3360+4807.2+7256.35+4400+4807.2+4400</f>
        <v>198929.50000000006</v>
      </c>
      <c r="L242" s="7">
        <f t="shared" si="585"/>
        <v>0</v>
      </c>
      <c r="M242" s="7">
        <f t="shared" si="586"/>
        <v>0</v>
      </c>
      <c r="N242" s="7">
        <v>0</v>
      </c>
      <c r="O242" s="7">
        <v>0</v>
      </c>
      <c r="P242" s="7">
        <f t="shared" si="587"/>
        <v>136270.49999999994</v>
      </c>
      <c r="Q242" s="7">
        <f t="shared" si="588"/>
        <v>40.653490453460606</v>
      </c>
      <c r="R242" s="7">
        <f t="shared" si="589"/>
        <v>0</v>
      </c>
      <c r="S242" s="7">
        <f t="shared" si="590"/>
        <v>136270.49999999994</v>
      </c>
    </row>
    <row r="243" spans="1:20" ht="35.25" customHeight="1" x14ac:dyDescent="0.5">
      <c r="A243" s="15">
        <v>216</v>
      </c>
      <c r="B243" s="53" t="str">
        <f>[28]รายการสรุป!$E$11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3" s="24" t="str">
        <f>[28]รายการสรุป!$I$11</f>
        <v>0700341028420106</v>
      </c>
      <c r="D243" s="6" t="s">
        <v>92</v>
      </c>
      <c r="E243" s="7">
        <f t="shared" ref="E243" si="591">F243+G243</f>
        <v>144900</v>
      </c>
      <c r="F243" s="7">
        <v>0</v>
      </c>
      <c r="G243" s="8">
        <f>[28]รายการสรุป!$J$11</f>
        <v>144900</v>
      </c>
      <c r="H243" s="7">
        <f t="shared" ref="H243" si="592">J243+K243</f>
        <v>102645</v>
      </c>
      <c r="I243" s="7">
        <f t="shared" ref="I243" si="593">H243*100/E243</f>
        <v>70.838509316770185</v>
      </c>
      <c r="J243" s="7">
        <v>0</v>
      </c>
      <c r="K243" s="7">
        <f>12645+90000</f>
        <v>102645</v>
      </c>
      <c r="L243" s="7">
        <f t="shared" ref="L243" si="594">N243+O243</f>
        <v>0</v>
      </c>
      <c r="M243" s="7">
        <f t="shared" ref="M243" si="595">L243*100/E243</f>
        <v>0</v>
      </c>
      <c r="N243" s="7">
        <v>0</v>
      </c>
      <c r="O243" s="7">
        <v>0</v>
      </c>
      <c r="P243" s="7">
        <f t="shared" ref="P243" si="596">R243+S243</f>
        <v>42255</v>
      </c>
      <c r="Q243" s="7">
        <f t="shared" ref="Q243" si="597">P243*100/E243</f>
        <v>29.161490683229815</v>
      </c>
      <c r="R243" s="7">
        <f t="shared" ref="R243" si="598">F243-J243-N243</f>
        <v>0</v>
      </c>
      <c r="S243" s="7">
        <f t="shared" ref="S243" si="599">G243-K243-O243</f>
        <v>42255</v>
      </c>
    </row>
    <row r="244" spans="1:20" ht="40.5" customHeight="1" x14ac:dyDescent="0.5">
      <c r="A244" s="15">
        <v>217</v>
      </c>
      <c r="B244" s="53" t="str">
        <f>[28]รายการสรุป!$E$12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4" s="24" t="str">
        <f>[28]รายการสรุป!$I$11</f>
        <v>0700341028420106</v>
      </c>
      <c r="D244" s="6" t="s">
        <v>92</v>
      </c>
      <c r="E244" s="7">
        <f t="shared" ref="E244:E246" si="600">F244+G244</f>
        <v>125500</v>
      </c>
      <c r="F244" s="7">
        <v>0</v>
      </c>
      <c r="G244" s="8">
        <f>[28]รายการสรุป!$J$12</f>
        <v>125500</v>
      </c>
      <c r="H244" s="7">
        <f t="shared" ref="H244:H246" si="601">J244+K244</f>
        <v>0</v>
      </c>
      <c r="I244" s="7">
        <f t="shared" ref="I244:I246" si="602">H244*100/E244</f>
        <v>0</v>
      </c>
      <c r="J244" s="7">
        <v>0</v>
      </c>
      <c r="K244" s="7">
        <v>0</v>
      </c>
      <c r="L244" s="7">
        <f t="shared" ref="L244:L246" si="603">N244+O244</f>
        <v>0</v>
      </c>
      <c r="M244" s="7">
        <f t="shared" ref="M244:M246" si="604">L244*100/E244</f>
        <v>0</v>
      </c>
      <c r="N244" s="7">
        <v>0</v>
      </c>
      <c r="O244" s="7">
        <v>0</v>
      </c>
      <c r="P244" s="7">
        <f t="shared" ref="P244:P246" si="605">R244+S244</f>
        <v>125500</v>
      </c>
      <c r="Q244" s="7">
        <f t="shared" ref="Q244:Q246" si="606">P244*100/E244</f>
        <v>100</v>
      </c>
      <c r="R244" s="7">
        <f t="shared" ref="R244:R246" si="607">F244-J244-N244</f>
        <v>0</v>
      </c>
      <c r="S244" s="7">
        <f t="shared" ref="S244:S246" si="608">G244-K244-O244</f>
        <v>125500</v>
      </c>
    </row>
    <row r="245" spans="1:20" ht="39.75" customHeight="1" x14ac:dyDescent="0.5">
      <c r="A245" s="15">
        <v>218</v>
      </c>
      <c r="B245" s="53" t="str">
        <f>[28]รายการสรุป!$E$13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5" s="24" t="str">
        <f>[28]รายการสรุป!$I$11</f>
        <v>0700341028420106</v>
      </c>
      <c r="D245" s="6" t="s">
        <v>92</v>
      </c>
      <c r="E245" s="7">
        <f t="shared" si="600"/>
        <v>100300</v>
      </c>
      <c r="F245" s="7">
        <v>0</v>
      </c>
      <c r="G245" s="8">
        <f>[28]รายการสรุป!$J$13</f>
        <v>100300</v>
      </c>
      <c r="H245" s="7">
        <f t="shared" si="601"/>
        <v>64680</v>
      </c>
      <c r="I245" s="7">
        <f t="shared" si="602"/>
        <v>64.48654037886341</v>
      </c>
      <c r="J245" s="7">
        <v>0</v>
      </c>
      <c r="K245" s="7">
        <f>64680</f>
        <v>64680</v>
      </c>
      <c r="L245" s="7">
        <f t="shared" si="603"/>
        <v>0</v>
      </c>
      <c r="M245" s="7">
        <f t="shared" si="604"/>
        <v>0</v>
      </c>
      <c r="N245" s="7">
        <v>0</v>
      </c>
      <c r="O245" s="7">
        <v>0</v>
      </c>
      <c r="P245" s="7">
        <f t="shared" si="605"/>
        <v>35620</v>
      </c>
      <c r="Q245" s="7">
        <f t="shared" si="606"/>
        <v>35.51345962113659</v>
      </c>
      <c r="R245" s="7">
        <f t="shared" si="607"/>
        <v>0</v>
      </c>
      <c r="S245" s="7">
        <f t="shared" si="608"/>
        <v>35620</v>
      </c>
    </row>
    <row r="246" spans="1:20" ht="39" customHeight="1" x14ac:dyDescent="0.5">
      <c r="A246" s="15">
        <v>219</v>
      </c>
      <c r="B246" s="53" t="str">
        <f>[28]รายการสรุป!$E$14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6" s="24" t="str">
        <f>[28]รายการสรุป!$I$11</f>
        <v>0700341028420106</v>
      </c>
      <c r="D246" s="6" t="s">
        <v>92</v>
      </c>
      <c r="E246" s="7">
        <f t="shared" si="600"/>
        <v>99000</v>
      </c>
      <c r="F246" s="7">
        <v>0</v>
      </c>
      <c r="G246" s="8">
        <f>[28]รายการสรุป!$J$14</f>
        <v>99000</v>
      </c>
      <c r="H246" s="7">
        <f t="shared" si="601"/>
        <v>64100</v>
      </c>
      <c r="I246" s="7">
        <f t="shared" si="602"/>
        <v>64.747474747474755</v>
      </c>
      <c r="J246" s="7">
        <v>0</v>
      </c>
      <c r="K246" s="7">
        <f>64100</f>
        <v>64100</v>
      </c>
      <c r="L246" s="7">
        <f t="shared" si="603"/>
        <v>0</v>
      </c>
      <c r="M246" s="7">
        <f t="shared" si="604"/>
        <v>0</v>
      </c>
      <c r="N246" s="7">
        <v>0</v>
      </c>
      <c r="O246" s="7">
        <v>0</v>
      </c>
      <c r="P246" s="7">
        <f t="shared" si="605"/>
        <v>34900</v>
      </c>
      <c r="Q246" s="7">
        <f t="shared" si="606"/>
        <v>35.252525252525253</v>
      </c>
      <c r="R246" s="7">
        <f t="shared" si="607"/>
        <v>0</v>
      </c>
      <c r="S246" s="7">
        <f t="shared" si="608"/>
        <v>34900</v>
      </c>
    </row>
    <row r="247" spans="1:20" ht="30" customHeight="1" x14ac:dyDescent="0.5">
      <c r="A247" s="15"/>
      <c r="B247" s="48" t="s">
        <v>58</v>
      </c>
      <c r="C247" s="63"/>
      <c r="D247" s="63"/>
      <c r="E247" s="49">
        <f t="shared" si="564"/>
        <v>3046500</v>
      </c>
      <c r="F247" s="49">
        <f>SUM(F248:F251)</f>
        <v>0</v>
      </c>
      <c r="G247" s="49">
        <f>SUM(G248:G251)</f>
        <v>3046500</v>
      </c>
      <c r="H247" s="49">
        <f>J247+K247</f>
        <v>3038036.8</v>
      </c>
      <c r="I247" s="49">
        <f>H247*100/E247</f>
        <v>99.722199245035284</v>
      </c>
      <c r="J247" s="49">
        <f>SUM(J255:J263)</f>
        <v>0</v>
      </c>
      <c r="K247" s="49">
        <f>SUM(K248:K251)</f>
        <v>3038036.8</v>
      </c>
      <c r="L247" s="49">
        <f>N247+O247</f>
        <v>0</v>
      </c>
      <c r="M247" s="48"/>
      <c r="N247" s="49">
        <f>SUM(N280:N288)</f>
        <v>0</v>
      </c>
      <c r="O247" s="49">
        <f>SUM(O248:O251)</f>
        <v>0</v>
      </c>
      <c r="P247" s="49">
        <f>R247+S247</f>
        <v>8463.2000000001863</v>
      </c>
      <c r="Q247" s="7">
        <f t="shared" si="570"/>
        <v>0.27780075496471973</v>
      </c>
      <c r="R247" s="49">
        <f>F247-J247-N247</f>
        <v>0</v>
      </c>
      <c r="S247" s="49">
        <f>G247-K247-O247</f>
        <v>8463.2000000001863</v>
      </c>
    </row>
    <row r="248" spans="1:20" ht="46.5" customHeight="1" x14ac:dyDescent="0.5">
      <c r="A248" s="15">
        <v>220</v>
      </c>
      <c r="B248" s="53" t="str">
        <f>[29]รายการสรุป!$E$5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8" s="24" t="str">
        <f>[29]รายการสรุป!$I$5</f>
        <v>0700341028420107</v>
      </c>
      <c r="D248" s="6" t="s">
        <v>55</v>
      </c>
      <c r="E248" s="7">
        <f t="shared" ref="E248" si="609">F248+G248</f>
        <v>620800</v>
      </c>
      <c r="F248" s="7">
        <v>0</v>
      </c>
      <c r="G248" s="8">
        <f>[29]รายการสรุป!$J$5</f>
        <v>620800</v>
      </c>
      <c r="H248" s="7">
        <f t="shared" ref="H248" si="610">J248+K248</f>
        <v>615401.69999999995</v>
      </c>
      <c r="I248" s="7">
        <f t="shared" ref="I248" si="611">H248*100/E248</f>
        <v>99.130428479381436</v>
      </c>
      <c r="J248" s="7">
        <v>0</v>
      </c>
      <c r="K248" s="7">
        <f>152699.8+58560+215158.9+84126+103800+1057</f>
        <v>615401.69999999995</v>
      </c>
      <c r="L248" s="7">
        <f t="shared" ref="L248" si="612">N248+O248</f>
        <v>0</v>
      </c>
      <c r="M248" s="7">
        <f t="shared" ref="M248" si="613">L248*100/E248</f>
        <v>0</v>
      </c>
      <c r="N248" s="7">
        <v>0</v>
      </c>
      <c r="O248" s="7">
        <v>0</v>
      </c>
      <c r="P248" s="7">
        <f t="shared" ref="P248" si="614">R248+S248</f>
        <v>5398.3000000000466</v>
      </c>
      <c r="Q248" s="7">
        <f t="shared" ref="Q248" si="615">P248*100/E248</f>
        <v>0.86957152061856424</v>
      </c>
      <c r="R248" s="7">
        <f t="shared" ref="R248" si="616">F248-J248-N248</f>
        <v>0</v>
      </c>
      <c r="S248" s="7">
        <f t="shared" ref="S248" si="617">G248-K248-O248</f>
        <v>5398.3000000000466</v>
      </c>
    </row>
    <row r="249" spans="1:20" ht="50.25" customHeight="1" x14ac:dyDescent="0.5">
      <c r="A249" s="15">
        <v>221</v>
      </c>
      <c r="B249" s="53" t="str">
        <f>[29]รายการสรุป!$E$6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9" s="24" t="str">
        <f>[29]รายการสรุป!$I$5</f>
        <v>0700341028420107</v>
      </c>
      <c r="D249" s="6" t="s">
        <v>55</v>
      </c>
      <c r="E249" s="7">
        <f t="shared" ref="E249:E252" si="618">F249+G249</f>
        <v>1036000</v>
      </c>
      <c r="F249" s="7">
        <v>0</v>
      </c>
      <c r="G249" s="8">
        <f>[29]รายการสรุป!$J$6</f>
        <v>1036000</v>
      </c>
      <c r="H249" s="7">
        <f t="shared" ref="H249:H251" si="619">J249+K249</f>
        <v>1035529.5</v>
      </c>
      <c r="I249" s="7">
        <f t="shared" ref="I249:I251" si="620">H249*100/E249</f>
        <v>99.954584942084935</v>
      </c>
      <c r="J249" s="7">
        <v>0</v>
      </c>
      <c r="K249" s="7">
        <f>138798+48072+59640+24426+159639.7+72108-7256.35-3605.4+66960+277280.55+54081+132000+13386</f>
        <v>1035529.5</v>
      </c>
      <c r="L249" s="7">
        <f t="shared" ref="L249:L251" si="621">N249+O249</f>
        <v>0</v>
      </c>
      <c r="M249" s="7">
        <f t="shared" ref="M249:M251" si="622">L249*100/E249</f>
        <v>0</v>
      </c>
      <c r="N249" s="7">
        <v>0</v>
      </c>
      <c r="O249" s="7">
        <v>0</v>
      </c>
      <c r="P249" s="7">
        <f t="shared" ref="P249:P251" si="623">R249+S249</f>
        <v>470.5</v>
      </c>
      <c r="Q249" s="7">
        <f t="shared" ref="Q249:Q252" si="624">P249*100/E249</f>
        <v>4.5415057915057913E-2</v>
      </c>
      <c r="R249" s="7">
        <f t="shared" ref="R249:R251" si="625">F249-J249-N249</f>
        <v>0</v>
      </c>
      <c r="S249" s="7">
        <f t="shared" ref="S249:S251" si="626">G249-K249-O249</f>
        <v>470.5</v>
      </c>
    </row>
    <row r="250" spans="1:20" ht="47.25" customHeight="1" x14ac:dyDescent="0.5">
      <c r="A250" s="15">
        <v>222</v>
      </c>
      <c r="B250" s="53" t="str">
        <f>[29]รายการสรุป!$E$7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50" s="24" t="str">
        <f>[29]รายการสรุป!$I$5</f>
        <v>0700341028420107</v>
      </c>
      <c r="D250" s="6" t="s">
        <v>55</v>
      </c>
      <c r="E250" s="7">
        <f t="shared" si="618"/>
        <v>693800</v>
      </c>
      <c r="F250" s="7">
        <v>0</v>
      </c>
      <c r="G250" s="8">
        <f>[29]รายการสรุป!$J$7</f>
        <v>693800</v>
      </c>
      <c r="H250" s="7">
        <f t="shared" si="619"/>
        <v>693799.4</v>
      </c>
      <c r="I250" s="7">
        <f t="shared" si="620"/>
        <v>99.999913519746329</v>
      </c>
      <c r="J250" s="7">
        <v>0</v>
      </c>
      <c r="K250" s="7">
        <f>151416+48072+105000+19078+174152.4+72108+115080+8893</f>
        <v>693799.4</v>
      </c>
      <c r="L250" s="7">
        <f t="shared" si="621"/>
        <v>0</v>
      </c>
      <c r="M250" s="7">
        <f t="shared" si="622"/>
        <v>0</v>
      </c>
      <c r="N250" s="7">
        <v>0</v>
      </c>
      <c r="O250" s="7">
        <v>0</v>
      </c>
      <c r="P250" s="7">
        <f t="shared" si="623"/>
        <v>0.59999999997671694</v>
      </c>
      <c r="Q250" s="7">
        <f t="shared" si="624"/>
        <v>8.6480253672054905E-5</v>
      </c>
      <c r="R250" s="7">
        <f t="shared" si="625"/>
        <v>0</v>
      </c>
      <c r="S250" s="7">
        <f t="shared" si="626"/>
        <v>0.59999999997671694</v>
      </c>
    </row>
    <row r="251" spans="1:20" ht="52.5" customHeight="1" x14ac:dyDescent="0.5">
      <c r="A251" s="15">
        <v>223</v>
      </c>
      <c r="B251" s="53" t="str">
        <f>[29]รายการสรุป!$E$8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51" s="24" t="str">
        <f>[29]รายการสรุป!$I$5</f>
        <v>0700341028420107</v>
      </c>
      <c r="D251" s="6" t="s">
        <v>55</v>
      </c>
      <c r="E251" s="7">
        <f t="shared" si="618"/>
        <v>695900</v>
      </c>
      <c r="F251" s="7">
        <v>0</v>
      </c>
      <c r="G251" s="8">
        <f>[29]รายการสรุป!$J$8</f>
        <v>695900</v>
      </c>
      <c r="H251" s="7">
        <f t="shared" si="619"/>
        <v>693306.2</v>
      </c>
      <c r="I251" s="7">
        <f t="shared" si="620"/>
        <v>99.627274033625525</v>
      </c>
      <c r="J251" s="7">
        <v>0</v>
      </c>
      <c r="K251" s="7">
        <f>166581.6+18683+24036+107400+166581.6+96144+111300+2580</f>
        <v>693306.2</v>
      </c>
      <c r="L251" s="7">
        <f t="shared" si="621"/>
        <v>0</v>
      </c>
      <c r="M251" s="7">
        <f t="shared" si="622"/>
        <v>0</v>
      </c>
      <c r="N251" s="7">
        <v>0</v>
      </c>
      <c r="O251" s="7">
        <v>0</v>
      </c>
      <c r="P251" s="7">
        <f t="shared" si="623"/>
        <v>2593.8000000000466</v>
      </c>
      <c r="Q251" s="7">
        <f t="shared" si="624"/>
        <v>0.3727259663744858</v>
      </c>
      <c r="R251" s="7">
        <f t="shared" si="625"/>
        <v>0</v>
      </c>
      <c r="S251" s="7">
        <f t="shared" si="626"/>
        <v>2593.8000000000466</v>
      </c>
    </row>
    <row r="252" spans="1:20" ht="34.5" customHeight="1" x14ac:dyDescent="0.5">
      <c r="A252" s="15"/>
      <c r="B252" s="48" t="s">
        <v>59</v>
      </c>
      <c r="C252" s="63"/>
      <c r="D252" s="63"/>
      <c r="E252" s="49">
        <f t="shared" si="618"/>
        <v>3868800</v>
      </c>
      <c r="F252" s="49">
        <f>SUM(F253)</f>
        <v>0</v>
      </c>
      <c r="G252" s="49">
        <f>SUM(G253)</f>
        <v>3868800</v>
      </c>
      <c r="H252" s="49">
        <f>J252+K252</f>
        <v>3155482.9599999995</v>
      </c>
      <c r="I252" s="49">
        <f>H252*100/E252</f>
        <v>81.56231803143092</v>
      </c>
      <c r="J252" s="49">
        <f>SUM(J253)</f>
        <v>0</v>
      </c>
      <c r="K252" s="49">
        <f>SUM(K253)</f>
        <v>3155482.9599999995</v>
      </c>
      <c r="L252" s="49">
        <f>N252+O252</f>
        <v>0</v>
      </c>
      <c r="M252" s="48"/>
      <c r="N252" s="49">
        <f>SUM(N287:N304)</f>
        <v>0</v>
      </c>
      <c r="O252" s="49">
        <f>SUM(O253)</f>
        <v>0</v>
      </c>
      <c r="P252" s="49">
        <f>R252+S252</f>
        <v>713317.0400000005</v>
      </c>
      <c r="Q252" s="7">
        <f t="shared" si="624"/>
        <v>18.437681968569077</v>
      </c>
      <c r="R252" s="49">
        <f>F252-J252-N252</f>
        <v>0</v>
      </c>
      <c r="S252" s="49">
        <f>G252-K252-O252</f>
        <v>713317.0400000005</v>
      </c>
    </row>
    <row r="253" spans="1:20" ht="47.25" customHeight="1" x14ac:dyDescent="0.5">
      <c r="A253" s="15">
        <v>224</v>
      </c>
      <c r="B253" s="53" t="s">
        <v>60</v>
      </c>
      <c r="C253" s="24" t="str">
        <f>[30]รายการสรุป!$I$5</f>
        <v>0700341028200001</v>
      </c>
      <c r="D253" s="6" t="s">
        <v>61</v>
      </c>
      <c r="E253" s="7">
        <f t="shared" ref="E253:E254" si="627">F253+G253</f>
        <v>3868800</v>
      </c>
      <c r="F253" s="7">
        <v>0</v>
      </c>
      <c r="G253" s="8">
        <f>[30]รายการสรุป!$J$5</f>
        <v>3868800</v>
      </c>
      <c r="H253" s="7">
        <f t="shared" ref="H253" si="628">J253+K253</f>
        <v>3155482.9599999995</v>
      </c>
      <c r="I253" s="7">
        <f t="shared" ref="I253" si="629">H253*100/E253</f>
        <v>81.56231803143092</v>
      </c>
      <c r="J253" s="7">
        <v>0</v>
      </c>
      <c r="K253" s="7">
        <f>135870+15146+86065+73722.8+259600+8928+24200+10000+32923+15842.42+72764.6+10000+252750+10000+80970+72656.1+56400+176000+18700+65016.4+10000+296624+67308.15+38400+283414+63326.65+12700+180400+76170+56400+800+64252+9166.69+77973.15+78270+306934+31840+19930+4020</f>
        <v>3155482.9599999995</v>
      </c>
      <c r="L253" s="7">
        <f t="shared" ref="L253" si="630">N253+O253</f>
        <v>0</v>
      </c>
      <c r="M253" s="7">
        <f t="shared" ref="M253" si="631">L253*100/E253</f>
        <v>0</v>
      </c>
      <c r="N253" s="7">
        <v>0</v>
      </c>
      <c r="O253" s="7">
        <v>0</v>
      </c>
      <c r="P253" s="7">
        <f t="shared" ref="P253" si="632">R253+S253</f>
        <v>713317.0400000005</v>
      </c>
      <c r="Q253" s="7">
        <f t="shared" ref="Q253:Q254" si="633">P253*100/E253</f>
        <v>18.437681968569077</v>
      </c>
      <c r="R253" s="7">
        <f t="shared" ref="R253" si="634">F253-J253-N253</f>
        <v>0</v>
      </c>
      <c r="S253" s="7">
        <f t="shared" ref="S253" si="635">G253-K253-O253</f>
        <v>713317.0400000005</v>
      </c>
    </row>
    <row r="254" spans="1:20" ht="31.5" customHeight="1" x14ac:dyDescent="0.5">
      <c r="A254" s="15"/>
      <c r="B254" s="48" t="s">
        <v>64</v>
      </c>
      <c r="C254" s="63"/>
      <c r="D254" s="63"/>
      <c r="E254" s="49">
        <f t="shared" si="627"/>
        <v>0</v>
      </c>
      <c r="F254" s="49">
        <f>SUM(F255)</f>
        <v>0</v>
      </c>
      <c r="G254" s="49">
        <f>SUM(G255:G263)</f>
        <v>0</v>
      </c>
      <c r="H254" s="49">
        <f>J254+K254</f>
        <v>0</v>
      </c>
      <c r="I254" s="49" t="e">
        <f>H254*100/E254</f>
        <v>#DIV/0!</v>
      </c>
      <c r="J254" s="49">
        <f>SUM(J304:J308)</f>
        <v>0</v>
      </c>
      <c r="K254" s="49">
        <f>SUM(K255:K263)</f>
        <v>0</v>
      </c>
      <c r="L254" s="49">
        <f>N254+O254</f>
        <v>0</v>
      </c>
      <c r="M254" s="48"/>
      <c r="N254" s="49">
        <f>SUM(N304:N306)</f>
        <v>0</v>
      </c>
      <c r="O254" s="49">
        <f>SUM(O255:O263)</f>
        <v>0</v>
      </c>
      <c r="P254" s="49">
        <f>R254+S254</f>
        <v>0</v>
      </c>
      <c r="Q254" s="7" t="e">
        <f t="shared" si="633"/>
        <v>#DIV/0!</v>
      </c>
      <c r="R254" s="49">
        <f>F254-J254-N254</f>
        <v>0</v>
      </c>
      <c r="S254" s="49">
        <f>G254-K254-O254</f>
        <v>0</v>
      </c>
    </row>
    <row r="255" spans="1:20" ht="36.75" customHeight="1" x14ac:dyDescent="0.5">
      <c r="A255" s="15">
        <v>225</v>
      </c>
      <c r="B255" s="53" t="str">
        <f>[31]รายการสรุป!$E$5</f>
        <v>จัดหาน้ำสนับสนุนราษฎรและวนรอุทยานบ้านพญาพิภักดิ์ระยะที่ 2 จ.เชียงราย</v>
      </c>
      <c r="C255" s="24" t="str">
        <f>[31]รายการสรุป!$I$5</f>
        <v>0700341028420184</v>
      </c>
      <c r="D255" s="6" t="s">
        <v>65</v>
      </c>
      <c r="E255" s="7">
        <f t="shared" ref="E255" si="636">F255+G255</f>
        <v>0</v>
      </c>
      <c r="F255" s="7">
        <v>0</v>
      </c>
      <c r="G255" s="8">
        <f>[31]รายการสรุป!$J$5</f>
        <v>0</v>
      </c>
      <c r="H255" s="7">
        <f t="shared" ref="H255" si="637">J255+K255</f>
        <v>0</v>
      </c>
      <c r="I255" s="7" t="e">
        <f t="shared" ref="I255" si="638">H255*100/E255</f>
        <v>#DIV/0!</v>
      </c>
      <c r="J255" s="7">
        <v>0</v>
      </c>
      <c r="K255" s="7">
        <v>0</v>
      </c>
      <c r="L255" s="7">
        <f t="shared" ref="L255" si="639">N255+O255</f>
        <v>0</v>
      </c>
      <c r="M255" s="7" t="e">
        <f t="shared" ref="M255" si="640">L255*100/E255</f>
        <v>#DIV/0!</v>
      </c>
      <c r="N255" s="7">
        <v>0</v>
      </c>
      <c r="O255" s="7">
        <v>0</v>
      </c>
      <c r="P255" s="7">
        <f t="shared" ref="P255" si="641">R255+S255</f>
        <v>0</v>
      </c>
      <c r="Q255" s="7" t="e">
        <f t="shared" ref="Q255" si="642">P255*100/E255</f>
        <v>#DIV/0!</v>
      </c>
      <c r="R255" s="7">
        <f t="shared" ref="R255" si="643">F255-J255-N255</f>
        <v>0</v>
      </c>
      <c r="S255" s="7">
        <f t="shared" ref="S255" si="644">G255-K255-O255</f>
        <v>0</v>
      </c>
      <c r="T255" s="1" t="s">
        <v>82</v>
      </c>
    </row>
    <row r="256" spans="1:20" ht="46.5" customHeight="1" x14ac:dyDescent="0.5">
      <c r="A256" s="15">
        <v>226</v>
      </c>
      <c r="B256" s="53" t="str">
        <f>[31]รายการสรุป!$E$6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6" s="24" t="str">
        <f>[31]รายการสรุป!$I$6</f>
        <v>0700341028410083</v>
      </c>
      <c r="D256" s="6" t="s">
        <v>65</v>
      </c>
      <c r="E256" s="7">
        <f t="shared" ref="E256:E264" si="645">F256+G256</f>
        <v>0</v>
      </c>
      <c r="F256" s="7">
        <v>0</v>
      </c>
      <c r="G256" s="8">
        <f>[31]รายการสรุป!$J$6</f>
        <v>0</v>
      </c>
      <c r="H256" s="7">
        <f t="shared" ref="H256:H263" si="646">J256+K256</f>
        <v>0</v>
      </c>
      <c r="I256" s="7" t="e">
        <f t="shared" ref="I256:I263" si="647">H256*100/E256</f>
        <v>#DIV/0!</v>
      </c>
      <c r="J256" s="7">
        <v>0</v>
      </c>
      <c r="K256" s="7">
        <v>0</v>
      </c>
      <c r="L256" s="7">
        <f t="shared" ref="L256:L263" si="648">N256+O256</f>
        <v>0</v>
      </c>
      <c r="M256" s="7" t="e">
        <f t="shared" ref="M256:M263" si="649">L256*100/E256</f>
        <v>#DIV/0!</v>
      </c>
      <c r="N256" s="7">
        <v>0</v>
      </c>
      <c r="O256" s="7">
        <v>0</v>
      </c>
      <c r="P256" s="7">
        <f t="shared" ref="P256:P263" si="650">R256+S256</f>
        <v>0</v>
      </c>
      <c r="Q256" s="7" t="e">
        <f t="shared" ref="Q256:Q264" si="651">P256*100/E256</f>
        <v>#DIV/0!</v>
      </c>
      <c r="R256" s="7">
        <f t="shared" ref="R256:R263" si="652">F256-J256-N256</f>
        <v>0</v>
      </c>
      <c r="S256" s="7">
        <f t="shared" ref="S256:S263" si="653">G256-K256-O256</f>
        <v>0</v>
      </c>
      <c r="T256" s="1" t="s">
        <v>82</v>
      </c>
    </row>
    <row r="257" spans="1:20" ht="45.75" customHeight="1" x14ac:dyDescent="0.5">
      <c r="A257" s="15">
        <v>227</v>
      </c>
      <c r="B257" s="53" t="str">
        <f>[31]รายการสรุป!$E$7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7" s="24" t="str">
        <f>[31]รายการสรุป!$I$7</f>
        <v>0700341028410057</v>
      </c>
      <c r="D257" s="6" t="s">
        <v>65</v>
      </c>
      <c r="E257" s="7">
        <f t="shared" si="645"/>
        <v>0</v>
      </c>
      <c r="F257" s="7">
        <v>0</v>
      </c>
      <c r="G257" s="8">
        <f>[31]รายการสรุป!$J$7</f>
        <v>0</v>
      </c>
      <c r="H257" s="7">
        <f t="shared" si="646"/>
        <v>0</v>
      </c>
      <c r="I257" s="7" t="e">
        <f t="shared" si="647"/>
        <v>#DIV/0!</v>
      </c>
      <c r="J257" s="7">
        <v>0</v>
      </c>
      <c r="K257" s="7">
        <v>0</v>
      </c>
      <c r="L257" s="7">
        <f t="shared" si="648"/>
        <v>0</v>
      </c>
      <c r="M257" s="7" t="e">
        <f t="shared" si="649"/>
        <v>#DIV/0!</v>
      </c>
      <c r="N257" s="7">
        <v>0</v>
      </c>
      <c r="O257" s="7">
        <v>0</v>
      </c>
      <c r="P257" s="7">
        <f t="shared" si="650"/>
        <v>0</v>
      </c>
      <c r="Q257" s="7" t="e">
        <f t="shared" si="651"/>
        <v>#DIV/0!</v>
      </c>
      <c r="R257" s="7">
        <f t="shared" si="652"/>
        <v>0</v>
      </c>
      <c r="S257" s="7">
        <f t="shared" si="653"/>
        <v>0</v>
      </c>
      <c r="T257" s="1" t="s">
        <v>82</v>
      </c>
    </row>
    <row r="258" spans="1:20" ht="35.25" customHeight="1" x14ac:dyDescent="0.5">
      <c r="A258" s="15">
        <v>228</v>
      </c>
      <c r="B258" s="53" t="str">
        <f>[31]รายการสรุป!$E$8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8" s="24" t="str">
        <f>[31]รายการสรุป!$I$8</f>
        <v>0700341028410052</v>
      </c>
      <c r="D258" s="6" t="s">
        <v>65</v>
      </c>
      <c r="E258" s="7">
        <f t="shared" si="645"/>
        <v>0</v>
      </c>
      <c r="F258" s="7">
        <v>0</v>
      </c>
      <c r="G258" s="8">
        <f>[31]รายการสรุป!$J$8</f>
        <v>0</v>
      </c>
      <c r="H258" s="7">
        <f t="shared" si="646"/>
        <v>0</v>
      </c>
      <c r="I258" s="7" t="e">
        <f t="shared" si="647"/>
        <v>#DIV/0!</v>
      </c>
      <c r="J258" s="7">
        <v>0</v>
      </c>
      <c r="K258" s="7">
        <v>0</v>
      </c>
      <c r="L258" s="7">
        <f t="shared" si="648"/>
        <v>0</v>
      </c>
      <c r="M258" s="7" t="e">
        <f t="shared" si="649"/>
        <v>#DIV/0!</v>
      </c>
      <c r="N258" s="7">
        <v>0</v>
      </c>
      <c r="O258" s="7">
        <v>0</v>
      </c>
      <c r="P258" s="7">
        <f t="shared" si="650"/>
        <v>0</v>
      </c>
      <c r="Q258" s="7" t="e">
        <f t="shared" si="651"/>
        <v>#DIV/0!</v>
      </c>
      <c r="R258" s="7">
        <f t="shared" si="652"/>
        <v>0</v>
      </c>
      <c r="S258" s="7">
        <f t="shared" si="653"/>
        <v>0</v>
      </c>
      <c r="T258" s="1" t="s">
        <v>82</v>
      </c>
    </row>
    <row r="259" spans="1:20" ht="33" customHeight="1" x14ac:dyDescent="0.5">
      <c r="A259" s="15">
        <v>229</v>
      </c>
      <c r="B259" s="53" t="str">
        <f>[31]รายการสรุป!$E$9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9" s="24" t="str">
        <f>[31]รายการสรุป!$I$9</f>
        <v>0700341028410075</v>
      </c>
      <c r="D259" s="6" t="s">
        <v>65</v>
      </c>
      <c r="E259" s="7">
        <f t="shared" si="645"/>
        <v>0</v>
      </c>
      <c r="F259" s="7">
        <v>0</v>
      </c>
      <c r="G259" s="8">
        <f>[31]รายการสรุป!$J$9</f>
        <v>0</v>
      </c>
      <c r="H259" s="7">
        <f t="shared" si="646"/>
        <v>0</v>
      </c>
      <c r="I259" s="7" t="e">
        <f t="shared" si="647"/>
        <v>#DIV/0!</v>
      </c>
      <c r="J259" s="7">
        <v>0</v>
      </c>
      <c r="K259" s="7">
        <v>0</v>
      </c>
      <c r="L259" s="7">
        <f t="shared" si="648"/>
        <v>0</v>
      </c>
      <c r="M259" s="7" t="e">
        <f t="shared" si="649"/>
        <v>#DIV/0!</v>
      </c>
      <c r="N259" s="7">
        <v>0</v>
      </c>
      <c r="O259" s="7">
        <v>0</v>
      </c>
      <c r="P259" s="7">
        <f t="shared" si="650"/>
        <v>0</v>
      </c>
      <c r="Q259" s="7" t="e">
        <f t="shared" si="651"/>
        <v>#DIV/0!</v>
      </c>
      <c r="R259" s="7">
        <f t="shared" si="652"/>
        <v>0</v>
      </c>
      <c r="S259" s="7">
        <f t="shared" si="653"/>
        <v>0</v>
      </c>
      <c r="T259" s="1" t="s">
        <v>82</v>
      </c>
    </row>
    <row r="260" spans="1:20" ht="35.25" customHeight="1" x14ac:dyDescent="0.5">
      <c r="A260" s="15">
        <v>230</v>
      </c>
      <c r="B260" s="53" t="str">
        <f>[31]รายการสรุป!$E$10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60" s="24" t="str">
        <f>[31]รายการสรุป!$I$10</f>
        <v>0700341028410049</v>
      </c>
      <c r="D260" s="6" t="s">
        <v>65</v>
      </c>
      <c r="E260" s="7">
        <f t="shared" si="645"/>
        <v>0</v>
      </c>
      <c r="F260" s="7">
        <v>0</v>
      </c>
      <c r="G260" s="8">
        <f>[31]รายการสรุป!$J$10</f>
        <v>0</v>
      </c>
      <c r="H260" s="7">
        <f t="shared" si="646"/>
        <v>0</v>
      </c>
      <c r="I260" s="7" t="e">
        <f t="shared" si="647"/>
        <v>#DIV/0!</v>
      </c>
      <c r="J260" s="7">
        <v>0</v>
      </c>
      <c r="K260" s="7">
        <v>0</v>
      </c>
      <c r="L260" s="7">
        <f t="shared" si="648"/>
        <v>0</v>
      </c>
      <c r="M260" s="7" t="e">
        <f t="shared" si="649"/>
        <v>#DIV/0!</v>
      </c>
      <c r="N260" s="7">
        <v>0</v>
      </c>
      <c r="O260" s="7">
        <v>0</v>
      </c>
      <c r="P260" s="7">
        <f t="shared" si="650"/>
        <v>0</v>
      </c>
      <c r="Q260" s="7" t="e">
        <f t="shared" si="651"/>
        <v>#DIV/0!</v>
      </c>
      <c r="R260" s="7">
        <f t="shared" si="652"/>
        <v>0</v>
      </c>
      <c r="S260" s="7">
        <f t="shared" si="653"/>
        <v>0</v>
      </c>
      <c r="T260" s="1" t="s">
        <v>82</v>
      </c>
    </row>
    <row r="261" spans="1:20" ht="36" customHeight="1" x14ac:dyDescent="0.5">
      <c r="A261" s="15">
        <v>231</v>
      </c>
      <c r="B261" s="53" t="str">
        <f>[31]รายการสรุป!$E$11</f>
        <v>ฝายแม่ลอยพร้อมระบบส่งน้ำ จ.เชียงราย</v>
      </c>
      <c r="C261" s="24" t="str">
        <f>[31]รายการสรุป!$I$11</f>
        <v>0700341028420185</v>
      </c>
      <c r="D261" s="6" t="s">
        <v>65</v>
      </c>
      <c r="E261" s="7">
        <f t="shared" si="645"/>
        <v>0</v>
      </c>
      <c r="F261" s="7">
        <v>0</v>
      </c>
      <c r="G261" s="8">
        <f>[31]รายการสรุป!$J$11</f>
        <v>0</v>
      </c>
      <c r="H261" s="7">
        <f t="shared" si="646"/>
        <v>0</v>
      </c>
      <c r="I261" s="7" t="e">
        <f t="shared" si="647"/>
        <v>#DIV/0!</v>
      </c>
      <c r="J261" s="7">
        <v>0</v>
      </c>
      <c r="K261" s="7">
        <v>0</v>
      </c>
      <c r="L261" s="7">
        <f t="shared" si="648"/>
        <v>0</v>
      </c>
      <c r="M261" s="7" t="e">
        <f t="shared" si="649"/>
        <v>#DIV/0!</v>
      </c>
      <c r="N261" s="7">
        <v>0</v>
      </c>
      <c r="O261" s="7">
        <v>0</v>
      </c>
      <c r="P261" s="7">
        <f t="shared" si="650"/>
        <v>0</v>
      </c>
      <c r="Q261" s="7" t="e">
        <f t="shared" si="651"/>
        <v>#DIV/0!</v>
      </c>
      <c r="R261" s="7">
        <f t="shared" si="652"/>
        <v>0</v>
      </c>
      <c r="S261" s="7">
        <f t="shared" si="653"/>
        <v>0</v>
      </c>
      <c r="T261" s="1" t="s">
        <v>82</v>
      </c>
    </row>
    <row r="262" spans="1:20" ht="36" customHeight="1" x14ac:dyDescent="0.5">
      <c r="A262" s="15">
        <v>232</v>
      </c>
      <c r="B262" s="53" t="str">
        <f>[31]รายการสรุป!$E$12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2" s="24" t="str">
        <f>[31]รายการสรุป!$I$12</f>
        <v>0700341028410050</v>
      </c>
      <c r="D262" s="6" t="s">
        <v>65</v>
      </c>
      <c r="E262" s="7">
        <f t="shared" si="645"/>
        <v>0</v>
      </c>
      <c r="F262" s="7">
        <v>0</v>
      </c>
      <c r="G262" s="8">
        <f>[31]รายการสรุป!$J$12</f>
        <v>0</v>
      </c>
      <c r="H262" s="7">
        <f t="shared" si="646"/>
        <v>0</v>
      </c>
      <c r="I262" s="7" t="e">
        <f t="shared" si="647"/>
        <v>#DIV/0!</v>
      </c>
      <c r="J262" s="7">
        <v>0</v>
      </c>
      <c r="K262" s="7">
        <v>0</v>
      </c>
      <c r="L262" s="7">
        <f t="shared" si="648"/>
        <v>0</v>
      </c>
      <c r="M262" s="7" t="e">
        <f t="shared" si="649"/>
        <v>#DIV/0!</v>
      </c>
      <c r="N262" s="7">
        <v>0</v>
      </c>
      <c r="O262" s="7">
        <v>0</v>
      </c>
      <c r="P262" s="7">
        <f t="shared" si="650"/>
        <v>0</v>
      </c>
      <c r="Q262" s="7" t="e">
        <f t="shared" si="651"/>
        <v>#DIV/0!</v>
      </c>
      <c r="R262" s="7">
        <f t="shared" si="652"/>
        <v>0</v>
      </c>
      <c r="S262" s="7">
        <f t="shared" si="653"/>
        <v>0</v>
      </c>
      <c r="T262" s="1" t="s">
        <v>82</v>
      </c>
    </row>
    <row r="263" spans="1:20" ht="31.5" customHeight="1" x14ac:dyDescent="0.5">
      <c r="A263" s="15">
        <v>233</v>
      </c>
      <c r="B263" s="53" t="str">
        <f>[31]รายการสรุป!$E$13</f>
        <v>ระบบส่งน้ำฝั่งซ้ายฝายห้วยตอง จ.เชียงราย</v>
      </c>
      <c r="C263" s="24" t="str">
        <f>[31]รายการสรุป!$I$13</f>
        <v>0700341028420297</v>
      </c>
      <c r="D263" s="6" t="s">
        <v>65</v>
      </c>
      <c r="E263" s="7">
        <f t="shared" si="645"/>
        <v>0</v>
      </c>
      <c r="F263" s="7">
        <v>0</v>
      </c>
      <c r="G263" s="8">
        <f>[31]รายการสรุป!$J$13</f>
        <v>0</v>
      </c>
      <c r="H263" s="7">
        <f t="shared" si="646"/>
        <v>0</v>
      </c>
      <c r="I263" s="7" t="e">
        <f t="shared" si="647"/>
        <v>#DIV/0!</v>
      </c>
      <c r="J263" s="7">
        <v>0</v>
      </c>
      <c r="K263" s="7">
        <v>0</v>
      </c>
      <c r="L263" s="7">
        <f t="shared" si="648"/>
        <v>0</v>
      </c>
      <c r="M263" s="7" t="e">
        <f t="shared" si="649"/>
        <v>#DIV/0!</v>
      </c>
      <c r="N263" s="7">
        <v>0</v>
      </c>
      <c r="O263" s="7">
        <v>0</v>
      </c>
      <c r="P263" s="7">
        <f t="shared" si="650"/>
        <v>0</v>
      </c>
      <c r="Q263" s="7" t="e">
        <f t="shared" si="651"/>
        <v>#DIV/0!</v>
      </c>
      <c r="R263" s="7">
        <f t="shared" si="652"/>
        <v>0</v>
      </c>
      <c r="S263" s="7">
        <f t="shared" si="653"/>
        <v>0</v>
      </c>
      <c r="T263" s="1" t="s">
        <v>82</v>
      </c>
    </row>
    <row r="264" spans="1:20" ht="39" customHeight="1" x14ac:dyDescent="0.5">
      <c r="A264" s="15"/>
      <c r="B264" s="48" t="s">
        <v>66</v>
      </c>
      <c r="C264" s="63"/>
      <c r="D264" s="63"/>
      <c r="E264" s="49">
        <f t="shared" si="645"/>
        <v>1213500</v>
      </c>
      <c r="F264" s="49">
        <f>SUM(F265:F268)</f>
        <v>0</v>
      </c>
      <c r="G264" s="49">
        <f>SUM(G265:G268)</f>
        <v>1213500</v>
      </c>
      <c r="H264" s="49">
        <f>J264+K264</f>
        <v>688462.47</v>
      </c>
      <c r="I264" s="49">
        <f>H264*100/E264</f>
        <v>56.733619283065515</v>
      </c>
      <c r="J264" s="49">
        <f>SUM(J306:J318)</f>
        <v>0</v>
      </c>
      <c r="K264" s="49">
        <f>SUM(K265:K268)</f>
        <v>688462.47</v>
      </c>
      <c r="L264" s="49">
        <f>N264+O264</f>
        <v>0</v>
      </c>
      <c r="M264" s="48"/>
      <c r="N264" s="49">
        <f>SUM(N306:N316)</f>
        <v>0</v>
      </c>
      <c r="O264" s="49">
        <f>SUM(O265:O268)</f>
        <v>0</v>
      </c>
      <c r="P264" s="49">
        <f>R264+S264</f>
        <v>525037.53</v>
      </c>
      <c r="Q264" s="7">
        <f t="shared" si="651"/>
        <v>43.266380716934485</v>
      </c>
      <c r="R264" s="49">
        <f>F264-J264-N264</f>
        <v>0</v>
      </c>
      <c r="S264" s="49">
        <f>G264-K264-O264</f>
        <v>525037.53</v>
      </c>
    </row>
    <row r="265" spans="1:20" ht="36.75" customHeight="1" x14ac:dyDescent="0.5">
      <c r="A265" s="15">
        <v>234</v>
      </c>
      <c r="B265" s="53" t="str">
        <f>[32]รายการสรุป!$E$5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5" s="24" t="str">
        <f>[32]รายการสรุป!$I$5</f>
        <v>0700341028420298</v>
      </c>
      <c r="D265" s="6" t="s">
        <v>65</v>
      </c>
      <c r="E265" s="7">
        <f t="shared" ref="E265" si="654">F265+G265</f>
        <v>260000</v>
      </c>
      <c r="F265" s="7">
        <v>0</v>
      </c>
      <c r="G265" s="8">
        <f>[32]รายการสรุป!$J$5</f>
        <v>260000</v>
      </c>
      <c r="H265" s="7">
        <f t="shared" ref="H265" si="655">J265+K265</f>
        <v>112367.5</v>
      </c>
      <c r="I265" s="7">
        <f t="shared" ref="I265" si="656">H265*100/E265</f>
        <v>43.218269230769231</v>
      </c>
      <c r="J265" s="7">
        <v>0</v>
      </c>
      <c r="K265" s="7">
        <f>34785+17639+40004.5+19939</f>
        <v>112367.5</v>
      </c>
      <c r="L265" s="7">
        <f t="shared" ref="L265" si="657">N265+O265</f>
        <v>0</v>
      </c>
      <c r="M265" s="7">
        <f t="shared" ref="M265" si="658">L265*100/E265</f>
        <v>0</v>
      </c>
      <c r="N265" s="7">
        <v>0</v>
      </c>
      <c r="O265" s="7">
        <v>0</v>
      </c>
      <c r="P265" s="7">
        <f t="shared" ref="P265" si="659">R265+S265</f>
        <v>147632.5</v>
      </c>
      <c r="Q265" s="7">
        <f t="shared" ref="Q265" si="660">P265*100/E265</f>
        <v>56.781730769230769</v>
      </c>
      <c r="R265" s="7">
        <f t="shared" ref="R265" si="661">F265-J265-N265</f>
        <v>0</v>
      </c>
      <c r="S265" s="7">
        <f t="shared" ref="S265" si="662">G265-K265-O265</f>
        <v>147632.5</v>
      </c>
    </row>
    <row r="266" spans="1:20" ht="31.5" customHeight="1" x14ac:dyDescent="0.5">
      <c r="A266" s="15">
        <v>235</v>
      </c>
      <c r="B266" s="53" t="str">
        <f>[32]รายการสรุป!$E$6</f>
        <v>ฝายนาสาพร้อมระบบส่งน้ำโครงการขยายผลโครงการหลวงแม่จริม จ.น่าน</v>
      </c>
      <c r="C266" s="24" t="str">
        <f>[32]รายการสรุป!$I$6</f>
        <v>0700341028420182</v>
      </c>
      <c r="D266" s="6" t="s">
        <v>65</v>
      </c>
      <c r="E266" s="7">
        <f t="shared" ref="E266:E269" si="663">F266+G266</f>
        <v>458500</v>
      </c>
      <c r="F266" s="7">
        <v>0</v>
      </c>
      <c r="G266" s="8">
        <f>[32]รายการสรุป!$J$6</f>
        <v>458500</v>
      </c>
      <c r="H266" s="7">
        <f t="shared" ref="H266:H267" si="664">J266+K266</f>
        <v>266007.37</v>
      </c>
      <c r="I266" s="7">
        <f t="shared" ref="I266:I267" si="665">H266*100/E266</f>
        <v>58.0168745910578</v>
      </c>
      <c r="J266" s="7">
        <v>0</v>
      </c>
      <c r="K266" s="7">
        <f>11562+2335.81+7760+69399+25013.5+2335.81+5500+9500.9+1280+7569+8590+5328+79819.85+30013.5</f>
        <v>266007.37</v>
      </c>
      <c r="L266" s="7">
        <f t="shared" ref="L266:L267" si="666">N266+O266</f>
        <v>0</v>
      </c>
      <c r="M266" s="7">
        <f t="shared" ref="M266:M267" si="667">L266*100/E266</f>
        <v>0</v>
      </c>
      <c r="N266" s="7">
        <v>0</v>
      </c>
      <c r="O266" s="7">
        <v>0</v>
      </c>
      <c r="P266" s="7">
        <f t="shared" ref="P266:P267" si="668">R266+S266</f>
        <v>192492.63</v>
      </c>
      <c r="Q266" s="7">
        <f t="shared" ref="Q266:Q269" si="669">P266*100/E266</f>
        <v>41.9831254089422</v>
      </c>
      <c r="R266" s="7">
        <f t="shared" ref="R266:R267" si="670">F266-J266-N266</f>
        <v>0</v>
      </c>
      <c r="S266" s="7">
        <f t="shared" ref="S266:S267" si="671">G266-K266-O266</f>
        <v>192492.63</v>
      </c>
    </row>
    <row r="267" spans="1:20" ht="33.75" customHeight="1" x14ac:dyDescent="0.5">
      <c r="A267" s="15">
        <v>236</v>
      </c>
      <c r="B267" s="53" t="str">
        <f>[32]รายการสรุป!$E$7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7" s="24" t="str">
        <f>[32]รายการสรุป!$I$7</f>
        <v>0700341028420183</v>
      </c>
      <c r="D267" s="6" t="s">
        <v>65</v>
      </c>
      <c r="E267" s="7">
        <f t="shared" si="663"/>
        <v>180000</v>
      </c>
      <c r="F267" s="7">
        <v>0</v>
      </c>
      <c r="G267" s="8">
        <f>[32]รายการสรุป!$J$7</f>
        <v>180000</v>
      </c>
      <c r="H267" s="7">
        <f t="shared" si="664"/>
        <v>116470.95</v>
      </c>
      <c r="I267" s="7">
        <f t="shared" si="665"/>
        <v>64.706083333333339</v>
      </c>
      <c r="J267" s="7">
        <v>0</v>
      </c>
      <c r="K267" s="7">
        <f>12618+12618+13880.8+9764.5+7946+12618+10074+9280+4749.95+3391+14512.7+4778+240</f>
        <v>116470.95</v>
      </c>
      <c r="L267" s="7">
        <f t="shared" si="666"/>
        <v>0</v>
      </c>
      <c r="M267" s="7">
        <f t="shared" si="667"/>
        <v>0</v>
      </c>
      <c r="N267" s="7">
        <v>0</v>
      </c>
      <c r="O267" s="7">
        <v>0</v>
      </c>
      <c r="P267" s="7">
        <f t="shared" si="668"/>
        <v>63529.05</v>
      </c>
      <c r="Q267" s="7">
        <f t="shared" si="669"/>
        <v>35.293916666666668</v>
      </c>
      <c r="R267" s="7">
        <f t="shared" si="670"/>
        <v>0</v>
      </c>
      <c r="S267" s="7">
        <f t="shared" si="671"/>
        <v>63529.05</v>
      </c>
    </row>
    <row r="268" spans="1:20" ht="31.5" customHeight="1" x14ac:dyDescent="0.5">
      <c r="A268" s="15">
        <v>237</v>
      </c>
      <c r="B268" s="53" t="str">
        <f>[32]รายการสรุป!$E$8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8" s="24" t="str">
        <f>[32]รายการสรุป!$I$8</f>
        <v>0700341028420181</v>
      </c>
      <c r="D268" s="6" t="s">
        <v>75</v>
      </c>
      <c r="E268" s="7">
        <f t="shared" ref="E268" si="672">F268+G268</f>
        <v>315000</v>
      </c>
      <c r="F268" s="7">
        <v>0</v>
      </c>
      <c r="G268" s="8">
        <f>[32]รายการสรุป!$J$8</f>
        <v>315000</v>
      </c>
      <c r="H268" s="7">
        <f t="shared" ref="H268" si="673">J268+K268</f>
        <v>193616.65</v>
      </c>
      <c r="I268" s="7">
        <f t="shared" ref="I268" si="674">H268*100/E268</f>
        <v>61.465603174603174</v>
      </c>
      <c r="J268" s="7">
        <v>0</v>
      </c>
      <c r="K268" s="7">
        <f>73308.05+11968+59775+48565.6</f>
        <v>193616.65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121383.35</v>
      </c>
      <c r="Q268" s="7">
        <f t="shared" ref="Q268" si="678">P268*100/E268</f>
        <v>38.534396825396826</v>
      </c>
      <c r="R268" s="7">
        <f t="shared" ref="R268" si="679">F268-J268-N268</f>
        <v>0</v>
      </c>
      <c r="S268" s="7">
        <f t="shared" ref="S268" si="680">G268-K268-O268</f>
        <v>121383.35</v>
      </c>
    </row>
    <row r="269" spans="1:20" ht="39" customHeight="1" x14ac:dyDescent="0.5">
      <c r="A269" s="15"/>
      <c r="B269" s="48" t="s">
        <v>67</v>
      </c>
      <c r="C269" s="63"/>
      <c r="D269" s="63"/>
      <c r="E269" s="49">
        <f t="shared" si="663"/>
        <v>573000</v>
      </c>
      <c r="F269" s="49">
        <f>SUM(F270)</f>
        <v>0</v>
      </c>
      <c r="G269" s="49">
        <f>SUM(G270:G272)</f>
        <v>573000</v>
      </c>
      <c r="H269" s="49">
        <f>J269+K269</f>
        <v>343606.3</v>
      </c>
      <c r="I269" s="49">
        <f>H269*100/E269</f>
        <v>59.966195462478183</v>
      </c>
      <c r="J269" s="49">
        <f>SUM(J310:J322)</f>
        <v>0</v>
      </c>
      <c r="K269" s="49">
        <f>SUM(K270:K272)</f>
        <v>343606.3</v>
      </c>
      <c r="L269" s="49">
        <f>SUM(L270:L271)</f>
        <v>0</v>
      </c>
      <c r="M269" s="48"/>
      <c r="N269" s="49">
        <f>SUM(N310:N320)</f>
        <v>0</v>
      </c>
      <c r="O269" s="49">
        <f>SUM(O270:O272)</f>
        <v>0</v>
      </c>
      <c r="P269" s="49">
        <f>R269+S269</f>
        <v>229393.7</v>
      </c>
      <c r="Q269" s="7">
        <f t="shared" si="669"/>
        <v>40.033804537521817</v>
      </c>
      <c r="R269" s="49">
        <f>F269-J269-N269</f>
        <v>0</v>
      </c>
      <c r="S269" s="49">
        <f>G269-K269-O269</f>
        <v>229393.7</v>
      </c>
    </row>
    <row r="270" spans="1:20" ht="36.75" customHeight="1" x14ac:dyDescent="0.5">
      <c r="A270" s="15">
        <v>238</v>
      </c>
      <c r="B270" s="53" t="str">
        <f>[33]รายการสรุป!$E$5</f>
        <v>ปรับปรุงระบบส่งน้ำฝายป่ารวก อ.เถิน จ.ลำปาง</v>
      </c>
      <c r="C270" s="24" t="str">
        <f>[33]รายการสรุป!$I$5</f>
        <v>0700341028410088</v>
      </c>
      <c r="D270" s="6" t="s">
        <v>65</v>
      </c>
      <c r="E270" s="7">
        <f t="shared" ref="E270" si="681">F270+G270</f>
        <v>254000</v>
      </c>
      <c r="F270" s="7">
        <v>0</v>
      </c>
      <c r="G270" s="8">
        <f>[33]รายการสรุป!$J$5</f>
        <v>254000</v>
      </c>
      <c r="H270" s="7">
        <f t="shared" ref="H270" si="682">J270+K270</f>
        <v>230638</v>
      </c>
      <c r="I270" s="7">
        <f t="shared" ref="I270" si="683">H270*100/E270</f>
        <v>90.802362204724403</v>
      </c>
      <c r="J270" s="7">
        <v>0</v>
      </c>
      <c r="K270" s="7">
        <f>80750+91760+58128</f>
        <v>230638</v>
      </c>
      <c r="L270" s="7">
        <f t="shared" ref="L270" si="684">N270+O270</f>
        <v>0</v>
      </c>
      <c r="M270" s="7">
        <f t="shared" ref="M270" si="685">L270*100/E270</f>
        <v>0</v>
      </c>
      <c r="N270" s="7">
        <v>0</v>
      </c>
      <c r="O270" s="7">
        <v>0</v>
      </c>
      <c r="P270" s="7">
        <f t="shared" ref="P270" si="686">R270+S270</f>
        <v>23362</v>
      </c>
      <c r="Q270" s="7">
        <f t="shared" ref="Q270" si="687">P270*100/E270</f>
        <v>9.1976377952755897</v>
      </c>
      <c r="R270" s="7">
        <f t="shared" ref="R270" si="688">F270-J270-N270</f>
        <v>0</v>
      </c>
      <c r="S270" s="7">
        <f t="shared" ref="S270" si="689">G270-K270-O270</f>
        <v>23362</v>
      </c>
    </row>
    <row r="271" spans="1:20" ht="32.25" customHeight="1" x14ac:dyDescent="0.5">
      <c r="A271" s="15">
        <v>239</v>
      </c>
      <c r="B271" s="53" t="str">
        <f>[33]รายการสรุป!$E$6</f>
        <v>ปรับระบบส่งน้ำอ่างเก็บน้ำห้วยสามขา อ.แม่ทะ จ.ลำปาง</v>
      </c>
      <c r="C271" s="24" t="str">
        <f>[33]รายการสรุป!$I$6</f>
        <v>0700341028410062</v>
      </c>
      <c r="D271" s="6" t="s">
        <v>65</v>
      </c>
      <c r="E271" s="7">
        <f t="shared" ref="E271:E274" si="690">F271+G271</f>
        <v>113000</v>
      </c>
      <c r="F271" s="7">
        <v>0</v>
      </c>
      <c r="G271" s="8">
        <f>[33]รายการสรุป!$J$6</f>
        <v>113000</v>
      </c>
      <c r="H271" s="7">
        <f t="shared" ref="H271" si="691">J271+K271</f>
        <v>112968.3</v>
      </c>
      <c r="I271" s="7">
        <f t="shared" ref="I271" si="692">H271*100/E271</f>
        <v>99.971946902654864</v>
      </c>
      <c r="J271" s="7">
        <v>0</v>
      </c>
      <c r="K271" s="7">
        <f>27000+15834+43538.1+2560+2320+21716.2</f>
        <v>112968.3</v>
      </c>
      <c r="L271" s="7">
        <f t="shared" ref="L271" si="693">N271+O271</f>
        <v>0</v>
      </c>
      <c r="M271" s="7">
        <f t="shared" ref="M271" si="694">L271*100/E271</f>
        <v>0</v>
      </c>
      <c r="N271" s="7">
        <v>0</v>
      </c>
      <c r="O271" s="7">
        <v>0</v>
      </c>
      <c r="P271" s="7">
        <f t="shared" ref="P271" si="695">R271+S271</f>
        <v>31.69999999999709</v>
      </c>
      <c r="Q271" s="7">
        <f t="shared" ref="Q271:Q274" si="696">P271*100/E271</f>
        <v>2.8053097345130167E-2</v>
      </c>
      <c r="R271" s="7">
        <f t="shared" ref="R271" si="697">F271-J271-N271</f>
        <v>0</v>
      </c>
      <c r="S271" s="7">
        <f t="shared" ref="S271" si="698">G271-K271-O271</f>
        <v>31.69999999999709</v>
      </c>
    </row>
    <row r="272" spans="1:20" ht="32.25" customHeight="1" x14ac:dyDescent="0.5">
      <c r="A272" s="15">
        <v>240</v>
      </c>
      <c r="B272" s="53" t="str">
        <f>[33]รายการสรุป!$E$7</f>
        <v>ปรับปรุงระบบส่งน้ำฝั่งซ้ายอ่างเก็บน้ำห้วยแม่จอก จ.ลำปาง</v>
      </c>
      <c r="C272" s="24" t="str">
        <f>[33]รายการสรุป!$I$7</f>
        <v>0700341028410089</v>
      </c>
      <c r="D272" s="6" t="s">
        <v>75</v>
      </c>
      <c r="E272" s="7">
        <f t="shared" ref="E272" si="699">F272+G272</f>
        <v>206000</v>
      </c>
      <c r="F272" s="7">
        <v>0</v>
      </c>
      <c r="G272" s="8">
        <f>[33]รายการสรุป!$J$7</f>
        <v>206000</v>
      </c>
      <c r="H272" s="7">
        <f t="shared" ref="H272" si="700">J272+K272</f>
        <v>0</v>
      </c>
      <c r="I272" s="7">
        <f t="shared" ref="I272" si="701">H272*100/E272</f>
        <v>0</v>
      </c>
      <c r="J272" s="7">
        <v>0</v>
      </c>
      <c r="K272" s="7">
        <v>0</v>
      </c>
      <c r="L272" s="7">
        <f t="shared" ref="L272" si="702">N272+O272</f>
        <v>0</v>
      </c>
      <c r="M272" s="7">
        <f t="shared" ref="M272" si="703">L272*100/E272</f>
        <v>0</v>
      </c>
      <c r="N272" s="7">
        <v>0</v>
      </c>
      <c r="O272" s="7">
        <v>0</v>
      </c>
      <c r="P272" s="7">
        <f t="shared" ref="P272" si="704">R272+S272</f>
        <v>206000</v>
      </c>
      <c r="Q272" s="7">
        <f t="shared" ref="Q272" si="705">P272*100/E272</f>
        <v>100</v>
      </c>
      <c r="R272" s="7">
        <f t="shared" ref="R272" si="706">F272-J272-N272</f>
        <v>0</v>
      </c>
      <c r="S272" s="7">
        <f t="shared" ref="S272" si="707">G272-K272-O272</f>
        <v>206000</v>
      </c>
    </row>
    <row r="273" spans="1:20" ht="39" customHeight="1" x14ac:dyDescent="0.5">
      <c r="A273" s="15"/>
      <c r="B273" s="48" t="s">
        <v>68</v>
      </c>
      <c r="C273" s="63"/>
      <c r="D273" s="63"/>
      <c r="E273" s="49">
        <f t="shared" si="690"/>
        <v>258000</v>
      </c>
      <c r="F273" s="49">
        <f>SUM(F274)</f>
        <v>0</v>
      </c>
      <c r="G273" s="49">
        <f>SUM(G274:G274)</f>
        <v>258000</v>
      </c>
      <c r="H273" s="49">
        <f>J273+K273</f>
        <v>168320</v>
      </c>
      <c r="I273" s="49">
        <f>H273*100/E273</f>
        <v>65.240310077519382</v>
      </c>
      <c r="J273" s="49">
        <f>SUM(J313:J325)</f>
        <v>0</v>
      </c>
      <c r="K273" s="49">
        <f>SUM(K274:K274)</f>
        <v>168320</v>
      </c>
      <c r="L273" s="49">
        <f>SUM(L274:L274)</f>
        <v>0</v>
      </c>
      <c r="M273" s="48"/>
      <c r="N273" s="49">
        <f>SUM(N313:N323)</f>
        <v>0</v>
      </c>
      <c r="O273" s="49">
        <f>SUM(O274:O274)</f>
        <v>0</v>
      </c>
      <c r="P273" s="49">
        <f>R273+S273</f>
        <v>89680</v>
      </c>
      <c r="Q273" s="7">
        <f t="shared" si="696"/>
        <v>34.759689922480618</v>
      </c>
      <c r="R273" s="49">
        <f>F273-J273-N273</f>
        <v>0</v>
      </c>
      <c r="S273" s="49">
        <f>G273-K273-O273</f>
        <v>89680</v>
      </c>
    </row>
    <row r="274" spans="1:20" ht="39" customHeight="1" x14ac:dyDescent="0.5">
      <c r="A274" s="15">
        <v>241</v>
      </c>
      <c r="B274" s="53" t="str">
        <f>[34]รายการสรุป!$E$5</f>
        <v>ระบบส่งน้ำอ่างเก็บน้ำห้วยสร้อยศรี ระยะที่ 1 จ.พะเยา</v>
      </c>
      <c r="C274" s="24" t="str">
        <f>[34]รายการสรุป!$I$5</f>
        <v>0700341028420191</v>
      </c>
      <c r="D274" s="6" t="s">
        <v>65</v>
      </c>
      <c r="E274" s="7">
        <f t="shared" si="690"/>
        <v>258000</v>
      </c>
      <c r="F274" s="7">
        <v>0</v>
      </c>
      <c r="G274" s="8">
        <f>[34]รายการสรุป!$J$5</f>
        <v>258000</v>
      </c>
      <c r="H274" s="7">
        <f t="shared" ref="H274" si="708">J274+K274</f>
        <v>168320</v>
      </c>
      <c r="I274" s="7">
        <f t="shared" ref="I274" si="709">H274*100/E274</f>
        <v>65.240310077519382</v>
      </c>
      <c r="J274" s="7">
        <v>0</v>
      </c>
      <c r="K274" s="7">
        <f>6960+12400+74380+74580</f>
        <v>168320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89680</v>
      </c>
      <c r="Q274" s="7">
        <f t="shared" si="696"/>
        <v>34.759689922480618</v>
      </c>
      <c r="R274" s="7">
        <f t="shared" ref="R274" si="713">F274-J274-N274</f>
        <v>0</v>
      </c>
      <c r="S274" s="7">
        <f t="shared" ref="S274" si="714">G274-K274-O274</f>
        <v>89680</v>
      </c>
    </row>
    <row r="275" spans="1:20" ht="39" customHeight="1" x14ac:dyDescent="0.5">
      <c r="A275" s="15"/>
      <c r="B275" s="48" t="s">
        <v>98</v>
      </c>
      <c r="C275" s="63"/>
      <c r="D275" s="63"/>
      <c r="E275" s="49">
        <f t="shared" ref="E275:E276" si="715">F275+G275</f>
        <v>555900</v>
      </c>
      <c r="F275" s="49">
        <f>SUM(F276)</f>
        <v>0</v>
      </c>
      <c r="G275" s="49">
        <f>SUM(G276:G276)</f>
        <v>555900</v>
      </c>
      <c r="H275" s="49">
        <f>J275+K275</f>
        <v>150772.28</v>
      </c>
      <c r="I275" s="49">
        <f>H275*100/E275</f>
        <v>27.12219463932362</v>
      </c>
      <c r="J275" s="49">
        <f>SUM(J315:J327)</f>
        <v>0</v>
      </c>
      <c r="K275" s="49">
        <f>SUM(K276:K276)</f>
        <v>150772.28</v>
      </c>
      <c r="L275" s="49">
        <f>SUM(L276:L276)</f>
        <v>0</v>
      </c>
      <c r="M275" s="48"/>
      <c r="N275" s="49">
        <f>SUM(N315:N325)</f>
        <v>0</v>
      </c>
      <c r="O275" s="49">
        <f>SUM(O276:O276)</f>
        <v>0</v>
      </c>
      <c r="P275" s="49">
        <f>R275+S275</f>
        <v>405127.72</v>
      </c>
      <c r="Q275" s="7">
        <f t="shared" ref="Q275:Q276" si="716">P275*100/E275</f>
        <v>72.877805360676376</v>
      </c>
      <c r="R275" s="49">
        <f>F275-J275-N275</f>
        <v>0</v>
      </c>
      <c r="S275" s="49">
        <f>G275-K275-O275</f>
        <v>405127.72</v>
      </c>
    </row>
    <row r="276" spans="1:20" ht="39" customHeight="1" x14ac:dyDescent="0.5">
      <c r="A276" s="15">
        <v>242</v>
      </c>
      <c r="B276" s="53" t="str">
        <f>[35]รายการสรุป!$E$5</f>
        <v>สถานีสูบน้ำด้วยไฟฟ้าพร้อมระบบสูบน้ำบ้านห้วยโป่ง จ.เชียงราย</v>
      </c>
      <c r="C276" s="24" t="str">
        <f>[35]รายการสรุป!$I$5</f>
        <v>0700341028420342</v>
      </c>
      <c r="D276" s="6" t="s">
        <v>99</v>
      </c>
      <c r="E276" s="7">
        <f t="shared" si="715"/>
        <v>555900</v>
      </c>
      <c r="F276" s="7">
        <v>0</v>
      </c>
      <c r="G276" s="8">
        <f>[35]รายการสรุป!$J$5</f>
        <v>555900</v>
      </c>
      <c r="H276" s="7">
        <f t="shared" ref="H276" si="717">J276+K276</f>
        <v>150772.28</v>
      </c>
      <c r="I276" s="7">
        <f t="shared" ref="I276" si="718">H276*100/E276</f>
        <v>27.12219463932362</v>
      </c>
      <c r="J276" s="7">
        <v>0</v>
      </c>
      <c r="K276" s="7">
        <f>18306.99+15516.09+12060+7620+10158+2235+42906.2+41970</f>
        <v>150772.28</v>
      </c>
      <c r="L276" s="7">
        <f t="shared" ref="L276" si="719">N276+O276</f>
        <v>0</v>
      </c>
      <c r="M276" s="7">
        <f t="shared" ref="M276" si="720">L276*100/E276</f>
        <v>0</v>
      </c>
      <c r="N276" s="7">
        <v>0</v>
      </c>
      <c r="O276" s="7">
        <v>0</v>
      </c>
      <c r="P276" s="7">
        <f t="shared" ref="P276" si="721">R276+S276</f>
        <v>405127.72</v>
      </c>
      <c r="Q276" s="7">
        <f t="shared" si="716"/>
        <v>72.877805360676376</v>
      </c>
      <c r="R276" s="7">
        <f t="shared" ref="R276" si="722">F276-J276-N276</f>
        <v>0</v>
      </c>
      <c r="S276" s="7">
        <f t="shared" ref="S276" si="723">G276-K276-O276</f>
        <v>405127.72</v>
      </c>
    </row>
    <row r="277" spans="1:20" ht="30" customHeight="1" x14ac:dyDescent="0.5">
      <c r="A277" s="15"/>
      <c r="B277" s="55" t="s">
        <v>37</v>
      </c>
      <c r="C277" s="64"/>
      <c r="D277" s="64"/>
      <c r="E277" s="56">
        <f t="shared" ref="E277:E279" si="724">F277+G277</f>
        <v>81389570</v>
      </c>
      <c r="F277" s="57">
        <f>F278+F281+F286+F289</f>
        <v>61845900</v>
      </c>
      <c r="G277" s="56">
        <f>G278+G281+G284+G286+G289</f>
        <v>19543670</v>
      </c>
      <c r="H277" s="57">
        <f>J277+K277</f>
        <v>16368435.75</v>
      </c>
      <c r="I277" s="52">
        <f>H277*100/E277</f>
        <v>20.111220332040087</v>
      </c>
      <c r="J277" s="57">
        <f>J278+J281+J284+J286+J289</f>
        <v>1306200</v>
      </c>
      <c r="K277" s="57">
        <f>K278+K281+K284+K286+K289</f>
        <v>15062235.75</v>
      </c>
      <c r="L277" s="57">
        <f>N277+O277</f>
        <v>0</v>
      </c>
      <c r="M277" s="55">
        <f>L277*100/E277</f>
        <v>0</v>
      </c>
      <c r="N277" s="57">
        <f>N278+N281+N286</f>
        <v>0</v>
      </c>
      <c r="O277" s="57">
        <f>O278+O281+O286</f>
        <v>0</v>
      </c>
      <c r="P277" s="57">
        <f>R277+S277</f>
        <v>65021134.25</v>
      </c>
      <c r="Q277" s="56">
        <f>P277*100/E277</f>
        <v>79.888779667959909</v>
      </c>
      <c r="R277" s="57">
        <f>F277-J277-N277</f>
        <v>60539700</v>
      </c>
      <c r="S277" s="57">
        <f>G277-K277-O277</f>
        <v>4481434.25</v>
      </c>
      <c r="T277" s="26">
        <f>I277+Q277</f>
        <v>100</v>
      </c>
    </row>
    <row r="278" spans="1:20" ht="30" customHeight="1" x14ac:dyDescent="0.5">
      <c r="A278" s="15"/>
      <c r="B278" s="48" t="s">
        <v>31</v>
      </c>
      <c r="C278" s="63"/>
      <c r="D278" s="63"/>
      <c r="E278" s="49">
        <f t="shared" si="724"/>
        <v>15537000</v>
      </c>
      <c r="F278" s="49">
        <f>SUM(F279:F280)</f>
        <v>0</v>
      </c>
      <c r="G278" s="49">
        <f>SUM(G279:G280)</f>
        <v>15537000</v>
      </c>
      <c r="H278" s="49">
        <f>J278+K278</f>
        <v>13327875.619999999</v>
      </c>
      <c r="I278" s="49">
        <f>H278*100/E278</f>
        <v>85.781525519727097</v>
      </c>
      <c r="J278" s="49">
        <f>SUM(J279:J280)</f>
        <v>0</v>
      </c>
      <c r="K278" s="49">
        <f>SUM(K279:K280)</f>
        <v>13327875.619999999</v>
      </c>
      <c r="L278" s="49">
        <f>N278+O278</f>
        <v>0</v>
      </c>
      <c r="M278" s="48"/>
      <c r="N278" s="49">
        <f>SUM(N279:N280)</f>
        <v>0</v>
      </c>
      <c r="O278" s="49">
        <f>SUM(O279:O280)</f>
        <v>0</v>
      </c>
      <c r="P278" s="49">
        <f>R278+S278</f>
        <v>2209124.3800000008</v>
      </c>
      <c r="Q278" s="49">
        <f t="shared" ref="Q278:Q279" si="725">P278*100/E278</f>
        <v>14.218474480272903</v>
      </c>
      <c r="R278" s="49">
        <f>SUM(R279:R280)</f>
        <v>0</v>
      </c>
      <c r="S278" s="49">
        <f>G278-K278-O278</f>
        <v>2209124.3800000008</v>
      </c>
    </row>
    <row r="279" spans="1:20" ht="30" customHeight="1" x14ac:dyDescent="0.5">
      <c r="A279" s="15">
        <v>243</v>
      </c>
      <c r="B279" s="53" t="str">
        <f>[36]รายการสรุป!$E$5</f>
        <v>ปรับปรุงทำนบดินพร้อมอาคารประกอบอ่างเก็บน้ำแม่แก่ง อ.เถิน จ.ลำปาง</v>
      </c>
      <c r="C279" s="24" t="str">
        <f>[36]รายการสรุป!$I$5</f>
        <v>0700341029420005</v>
      </c>
      <c r="D279" s="6" t="s">
        <v>38</v>
      </c>
      <c r="E279" s="7">
        <f t="shared" si="724"/>
        <v>15000000</v>
      </c>
      <c r="F279" s="7">
        <v>0</v>
      </c>
      <c r="G279" s="8">
        <f>[36]รายการสรุป!$J$5</f>
        <v>15000000</v>
      </c>
      <c r="H279" s="7">
        <f t="shared" ref="H279" si="726">J279+K279</f>
        <v>13228676.02</v>
      </c>
      <c r="I279" s="7">
        <f t="shared" ref="I279" si="727">H279*100/E279</f>
        <v>88.191173466666669</v>
      </c>
      <c r="J279" s="7">
        <v>0</v>
      </c>
      <c r="K279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+45459+154140+98905+18625.2+3360+21072.4+153644.15+440253.1+815444.86+35037.8+5015.7+185219.15+110497.2+98902-11866+7511000</f>
        <v>13228676.02</v>
      </c>
      <c r="L279" s="7">
        <f t="shared" ref="L279" si="728">N279+O279</f>
        <v>0</v>
      </c>
      <c r="M279" s="7">
        <f t="shared" ref="M279" si="729">L279*100/E279</f>
        <v>0</v>
      </c>
      <c r="N279" s="7">
        <v>0</v>
      </c>
      <c r="O279" s="7">
        <v>0</v>
      </c>
      <c r="P279" s="7">
        <f t="shared" ref="P279" si="730">R279+S279</f>
        <v>1771323.9800000004</v>
      </c>
      <c r="Q279" s="7">
        <f t="shared" si="725"/>
        <v>11.808826533333336</v>
      </c>
      <c r="R279" s="7">
        <f t="shared" ref="R279" si="731">F279-J279-N279</f>
        <v>0</v>
      </c>
      <c r="S279" s="7">
        <f t="shared" ref="S279" si="732">G279-K279-O279</f>
        <v>1771323.9800000004</v>
      </c>
    </row>
    <row r="280" spans="1:20" ht="30" customHeight="1" x14ac:dyDescent="0.5">
      <c r="A280" s="15">
        <v>244</v>
      </c>
      <c r="B280" s="53" t="str">
        <f>[36]รายการสรุป!$E$6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80" s="24" t="str">
        <f>[36]รายการสรุป!$I$6</f>
        <v>0700341029420027</v>
      </c>
      <c r="D280" s="6" t="s">
        <v>38</v>
      </c>
      <c r="E280" s="7">
        <f t="shared" ref="E280:E282" si="733">F280+G280</f>
        <v>537000</v>
      </c>
      <c r="F280" s="7">
        <v>0</v>
      </c>
      <c r="G280" s="8">
        <f>[36]รายการสรุป!$J$6</f>
        <v>537000</v>
      </c>
      <c r="H280" s="7">
        <f t="shared" ref="H280" si="734">J280+K280</f>
        <v>99199.599999999991</v>
      </c>
      <c r="I280" s="7">
        <f t="shared" ref="I280" si="735">H280*100/E280</f>
        <v>18.472923649906889</v>
      </c>
      <c r="J280" s="7">
        <v>0</v>
      </c>
      <c r="K280" s="7">
        <f>20624+7256.35+5004.5+6309+4550+5004.5+21769.05+6940.9+19615.3+2126</f>
        <v>99199.599999999991</v>
      </c>
      <c r="L280" s="7">
        <f t="shared" ref="L280" si="736">N280+O280</f>
        <v>0</v>
      </c>
      <c r="M280" s="7">
        <f t="shared" ref="M280" si="737">L280*100/E280</f>
        <v>0</v>
      </c>
      <c r="N280" s="7">
        <v>0</v>
      </c>
      <c r="O280" s="7">
        <v>0</v>
      </c>
      <c r="P280" s="7">
        <f t="shared" ref="P280" si="738">R280+S280</f>
        <v>437800.4</v>
      </c>
      <c r="Q280" s="7">
        <f t="shared" ref="Q280:Q284" si="739">P280*100/E280</f>
        <v>81.527076350093111</v>
      </c>
      <c r="R280" s="7">
        <f t="shared" ref="R280" si="740">F280-J280-N280</f>
        <v>0</v>
      </c>
      <c r="S280" s="7">
        <f t="shared" ref="S280" si="741">G280-K280-O280</f>
        <v>437800.4</v>
      </c>
    </row>
    <row r="281" spans="1:20" ht="30" customHeight="1" x14ac:dyDescent="0.5">
      <c r="A281" s="15"/>
      <c r="B281" s="48" t="s">
        <v>48</v>
      </c>
      <c r="C281" s="63"/>
      <c r="D281" s="63"/>
      <c r="E281" s="49">
        <f t="shared" si="733"/>
        <v>33027100</v>
      </c>
      <c r="F281" s="49">
        <f>SUM(F282:F283)</f>
        <v>33027100</v>
      </c>
      <c r="G281" s="49">
        <f>SUM(G282:G283)</f>
        <v>0</v>
      </c>
      <c r="H281" s="49">
        <f>J281+K281</f>
        <v>0</v>
      </c>
      <c r="I281" s="49">
        <f>H281*100/E281</f>
        <v>0</v>
      </c>
      <c r="J281" s="49">
        <f>SUM(J282:J283)</f>
        <v>0</v>
      </c>
      <c r="K281" s="49">
        <f>SUM(K282:K283)</f>
        <v>0</v>
      </c>
      <c r="L281" s="49">
        <f>N281+O281</f>
        <v>0</v>
      </c>
      <c r="M281" s="48"/>
      <c r="N281" s="49">
        <f>SUM(N282:N283)</f>
        <v>0</v>
      </c>
      <c r="O281" s="49">
        <f>SUM(O282:O283)</f>
        <v>0</v>
      </c>
      <c r="P281" s="49">
        <f>R281+S281</f>
        <v>33027100</v>
      </c>
      <c r="Q281" s="49">
        <f t="shared" si="739"/>
        <v>100</v>
      </c>
      <c r="R281" s="49">
        <f>F281-J281-N281</f>
        <v>33027100</v>
      </c>
      <c r="S281" s="49">
        <f>G281-K281-O281</f>
        <v>0</v>
      </c>
    </row>
    <row r="282" spans="1:20" ht="30" customHeight="1" x14ac:dyDescent="0.5">
      <c r="A282" s="15">
        <v>245</v>
      </c>
      <c r="B282" s="53" t="str">
        <f>[37]รายการสรุป!$E$5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2" s="24" t="str">
        <f>[37]รายการสรุป!$I$5</f>
        <v>0700341029420135</v>
      </c>
      <c r="D282" s="6" t="s">
        <v>47</v>
      </c>
      <c r="E282" s="7">
        <f t="shared" si="733"/>
        <v>31756800</v>
      </c>
      <c r="F282" s="7">
        <f>[37]รายการสรุป!$J$5</f>
        <v>31756800</v>
      </c>
      <c r="G282" s="8">
        <v>0</v>
      </c>
      <c r="H282" s="7">
        <f t="shared" ref="H282" si="742">J282+K282</f>
        <v>0</v>
      </c>
      <c r="I282" s="7">
        <f t="shared" ref="I282" si="743">H282*100/E282</f>
        <v>0</v>
      </c>
      <c r="J282" s="7">
        <v>0</v>
      </c>
      <c r="K282" s="7">
        <v>0</v>
      </c>
      <c r="L282" s="7">
        <f t="shared" ref="L282" si="744">N282+O282</f>
        <v>0</v>
      </c>
      <c r="M282" s="7">
        <f t="shared" ref="M282" si="745">L282*100/E282</f>
        <v>0</v>
      </c>
      <c r="N282" s="7">
        <v>0</v>
      </c>
      <c r="O282" s="7">
        <v>0</v>
      </c>
      <c r="P282" s="7">
        <f t="shared" ref="P282" si="746">R282+S282</f>
        <v>31756800</v>
      </c>
      <c r="Q282" s="7">
        <f t="shared" si="739"/>
        <v>100</v>
      </c>
      <c r="R282" s="7">
        <f t="shared" ref="R282" si="747">F282-J282-N282</f>
        <v>31756800</v>
      </c>
      <c r="S282" s="7">
        <f t="shared" ref="S282" si="748">G282-K282-O282</f>
        <v>0</v>
      </c>
    </row>
    <row r="283" spans="1:20" ht="45.75" customHeight="1" x14ac:dyDescent="0.5">
      <c r="A283" s="15">
        <v>246</v>
      </c>
      <c r="B283" s="53" t="str">
        <f>[37]รายการสรุป!$E$6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3" s="24" t="str">
        <f>[37]รายการสรุป!$I$6</f>
        <v>0700341029420076</v>
      </c>
      <c r="D283" s="6" t="s">
        <v>47</v>
      </c>
      <c r="E283" s="7">
        <f t="shared" ref="E283:E287" si="749">F283+G283</f>
        <v>1270300</v>
      </c>
      <c r="F283" s="7">
        <f>[37]รายการสรุป!$J$6</f>
        <v>1270300</v>
      </c>
      <c r="G283" s="8">
        <v>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1270300</v>
      </c>
      <c r="Q283" s="7">
        <f t="shared" ref="Q283:Q287" si="755">P283*100/E283</f>
        <v>100</v>
      </c>
      <c r="R283" s="7">
        <f t="shared" ref="R283" si="756">F283-J283-N283</f>
        <v>1270300</v>
      </c>
      <c r="S283" s="7">
        <f t="shared" ref="S283" si="757">G283-K283-O283</f>
        <v>0</v>
      </c>
    </row>
    <row r="284" spans="1:20" ht="41.25" customHeight="1" x14ac:dyDescent="0.5">
      <c r="A284" s="15"/>
      <c r="B284" s="48" t="s">
        <v>79</v>
      </c>
      <c r="C284" s="63"/>
      <c r="D284" s="63"/>
      <c r="E284" s="49">
        <f t="shared" si="749"/>
        <v>952700</v>
      </c>
      <c r="F284" s="49">
        <v>0</v>
      </c>
      <c r="G284" s="49">
        <f>G285</f>
        <v>952700</v>
      </c>
      <c r="H284" s="49">
        <f>J284+K284</f>
        <v>0</v>
      </c>
      <c r="I284" s="49">
        <f>H284*100/E284</f>
        <v>0</v>
      </c>
      <c r="J284" s="49">
        <f>SUM(J285)</f>
        <v>0</v>
      </c>
      <c r="K284" s="49">
        <f>K285</f>
        <v>0</v>
      </c>
      <c r="L284" s="49">
        <f>N284+O284</f>
        <v>0</v>
      </c>
      <c r="M284" s="48"/>
      <c r="N284" s="49">
        <f>SUM(N285:N286)</f>
        <v>0</v>
      </c>
      <c r="O284" s="49">
        <f>O285</f>
        <v>0</v>
      </c>
      <c r="P284" s="49">
        <f>R284+S284</f>
        <v>952700</v>
      </c>
      <c r="Q284" s="49">
        <f t="shared" si="739"/>
        <v>100</v>
      </c>
      <c r="R284" s="49">
        <f>R285</f>
        <v>0</v>
      </c>
      <c r="S284" s="49">
        <f>G284-K284-O284</f>
        <v>952700</v>
      </c>
    </row>
    <row r="285" spans="1:20" ht="38.25" customHeight="1" x14ac:dyDescent="0.5">
      <c r="A285" s="15">
        <v>247</v>
      </c>
      <c r="B285" s="53" t="str">
        <f>[38]รายการสรุป!$E$7</f>
        <v>ค่าควบคุมงานจ้างเหมาโครงการปรับปรุงเขื่อนแม่สรวย จ.เชียงราย</v>
      </c>
      <c r="C285" s="24" t="str">
        <f>[38]รายการสรุป!$I$7</f>
        <v>0700341029410043</v>
      </c>
      <c r="D285" s="6" t="s">
        <v>49</v>
      </c>
      <c r="E285" s="7">
        <f t="shared" ref="E285" si="758">F285+G285</f>
        <v>952700</v>
      </c>
      <c r="F285" s="7">
        <v>0</v>
      </c>
      <c r="G285" s="8">
        <f>[38]รายการสรุป!$J$7</f>
        <v>952700</v>
      </c>
      <c r="H285" s="7">
        <f t="shared" ref="H285" si="759">J285+K285</f>
        <v>0</v>
      </c>
      <c r="I285" s="7">
        <f t="shared" ref="I285" si="760">H285*100/E285</f>
        <v>0</v>
      </c>
      <c r="J285" s="7">
        <v>0</v>
      </c>
      <c r="K285" s="7">
        <v>0</v>
      </c>
      <c r="L285" s="7">
        <f t="shared" ref="L285" si="761">N285+O285</f>
        <v>0</v>
      </c>
      <c r="M285" s="7">
        <f t="shared" ref="M285" si="762">L285*100/E285</f>
        <v>0</v>
      </c>
      <c r="N285" s="7">
        <v>0</v>
      </c>
      <c r="O285" s="7">
        <v>0</v>
      </c>
      <c r="P285" s="7">
        <f t="shared" ref="P285" si="763">R285+S285</f>
        <v>952700</v>
      </c>
      <c r="Q285" s="7">
        <f t="shared" ref="Q285" si="764">P285*100/E285</f>
        <v>100</v>
      </c>
      <c r="R285" s="7">
        <f t="shared" ref="R285" si="765">F285-J285-N285</f>
        <v>0</v>
      </c>
      <c r="S285" s="7">
        <f t="shared" ref="S285" si="766">G285-K285-O285</f>
        <v>952700</v>
      </c>
    </row>
    <row r="286" spans="1:20" ht="30" customHeight="1" x14ac:dyDescent="0.5">
      <c r="A286" s="15"/>
      <c r="B286" s="48" t="s">
        <v>43</v>
      </c>
      <c r="C286" s="63"/>
      <c r="D286" s="63"/>
      <c r="E286" s="49">
        <f t="shared" si="749"/>
        <v>13148600</v>
      </c>
      <c r="F286" s="49">
        <f>SUM(F287:F288)</f>
        <v>10640000</v>
      </c>
      <c r="G286" s="49">
        <f>SUM(G287:G288)</f>
        <v>2508600</v>
      </c>
      <c r="H286" s="49">
        <f>J286+K286</f>
        <v>1552476.1300000001</v>
      </c>
      <c r="I286" s="49">
        <f>H286*100/E286</f>
        <v>11.807159165234321</v>
      </c>
      <c r="J286" s="49">
        <f>SUM(J287:J288)</f>
        <v>0</v>
      </c>
      <c r="K286" s="49">
        <f>SUM(K287:K288)</f>
        <v>1552476.1300000001</v>
      </c>
      <c r="L286" s="49">
        <f>N286+O286</f>
        <v>0</v>
      </c>
      <c r="M286" s="48"/>
      <c r="N286" s="49">
        <f>SUM(N287:N288)</f>
        <v>0</v>
      </c>
      <c r="O286" s="49">
        <f>SUM(O287:O288)</f>
        <v>0</v>
      </c>
      <c r="P286" s="49">
        <f>R286+S286</f>
        <v>11596123.869999999</v>
      </c>
      <c r="Q286" s="49">
        <f t="shared" si="755"/>
        <v>88.192840834765676</v>
      </c>
      <c r="R286" s="49">
        <f>SUM(R287:R288)</f>
        <v>10640000</v>
      </c>
      <c r="S286" s="49">
        <f>G286-K286-O286</f>
        <v>956123.86999999988</v>
      </c>
    </row>
    <row r="287" spans="1:20" ht="30" customHeight="1" x14ac:dyDescent="0.5">
      <c r="A287" s="15">
        <v>248</v>
      </c>
      <c r="B287" s="53" t="str">
        <f>[39]รายการสรุป!$E$5</f>
        <v>ปรับปรุงฐานยันเขื่อนอ่างเก็บน้ำดอยงู อ.เวียงป่าเป้า จ.เชียงราย</v>
      </c>
      <c r="C287" s="24" t="str">
        <f>[39]รายการสรุป!$I$5</f>
        <v>0700341029420006</v>
      </c>
      <c r="D287" s="6" t="s">
        <v>49</v>
      </c>
      <c r="E287" s="7">
        <f t="shared" si="749"/>
        <v>11759600</v>
      </c>
      <c r="F287" s="7">
        <f>[39]รายการสรุป!$J$7</f>
        <v>10640000</v>
      </c>
      <c r="G287" s="8">
        <f>[39]รายการสรุป!$J$5</f>
        <v>1119600</v>
      </c>
      <c r="H287" s="7">
        <f t="shared" ref="H287" si="767">J287+K287</f>
        <v>968978.4</v>
      </c>
      <c r="I287" s="7">
        <f t="shared" ref="I287" si="768">H287*100/E287</f>
        <v>8.2398925133507941</v>
      </c>
      <c r="J287" s="7">
        <v>0</v>
      </c>
      <c r="K287" s="7">
        <f>5920+3000+2320+7440+3822+99950+7200+161387.5+3860+34960+34068.6+41300+4297+3273+56781+32000+1280+30370+65307.15+42332.4+48263.85+42344.55+14078+6630.9+62468.1+6455.9+41436.45+6960+3750+95722</f>
        <v>968978.4</v>
      </c>
      <c r="L287" s="7">
        <f t="shared" ref="L287" si="769">N287+O287</f>
        <v>0</v>
      </c>
      <c r="M287" s="7">
        <f t="shared" ref="M287" si="770">L287*100/E287</f>
        <v>0</v>
      </c>
      <c r="N287" s="7">
        <v>0</v>
      </c>
      <c r="O287" s="7">
        <v>0</v>
      </c>
      <c r="P287" s="7">
        <f t="shared" ref="P287" si="771">R287+S287</f>
        <v>10790621.6</v>
      </c>
      <c r="Q287" s="7">
        <f t="shared" si="755"/>
        <v>91.760107486649204</v>
      </c>
      <c r="R287" s="7">
        <f t="shared" ref="R287" si="772">F287-J287-N287</f>
        <v>10640000</v>
      </c>
      <c r="S287" s="7">
        <f t="shared" ref="S287" si="773">G287-K287-O287</f>
        <v>150621.59999999998</v>
      </c>
    </row>
    <row r="288" spans="1:20" ht="30" customHeight="1" x14ac:dyDescent="0.5">
      <c r="A288" s="15">
        <v>249</v>
      </c>
      <c r="B288" s="53" t="str">
        <f>[39]รายการสรุป!$E$6</f>
        <v>ปรับปรุงลาดไหล่เขาฝั่งขวาโครงการเขื่อนแม่สรวย อ.แม่สรวย จ.เชียงราย</v>
      </c>
      <c r="C288" s="24" t="str">
        <f>[39]รายการสรุป!$I$6</f>
        <v>0700341029420026</v>
      </c>
      <c r="D288" s="6" t="s">
        <v>49</v>
      </c>
      <c r="E288" s="7">
        <f t="shared" ref="E288:E289" si="774">F288+G288</f>
        <v>1389000</v>
      </c>
      <c r="F288" s="7">
        <v>0</v>
      </c>
      <c r="G288" s="8">
        <f>[39]รายการสรุป!$J$6</f>
        <v>1389000</v>
      </c>
      <c r="H288" s="7">
        <f t="shared" ref="H288" si="775">J288+K288</f>
        <v>583497.7300000001</v>
      </c>
      <c r="I288" s="7">
        <f t="shared" ref="I288" si="776">H288*100/E288</f>
        <v>42.008475881929449</v>
      </c>
      <c r="J288" s="7">
        <v>0</v>
      </c>
      <c r="K288" s="7">
        <f>98855.55+3674.83+6309+99171+13440+24376+12642+121313.45+45520+12618+41742+14512.7+29025.4+47309.8+12988</f>
        <v>583497.7300000001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805502.2699999999</v>
      </c>
      <c r="Q288" s="7">
        <f t="shared" ref="Q288:Q289" si="780">P288*100/E288</f>
        <v>57.991524118070544</v>
      </c>
      <c r="R288" s="7">
        <f t="shared" ref="R288" si="781">F288-J288-N288</f>
        <v>0</v>
      </c>
      <c r="S288" s="7">
        <f t="shared" ref="S288" si="782">G288-K288-O288</f>
        <v>805502.2699999999</v>
      </c>
    </row>
    <row r="289" spans="1:20" ht="30" customHeight="1" x14ac:dyDescent="0.5">
      <c r="A289" s="15"/>
      <c r="B289" s="48" t="s">
        <v>87</v>
      </c>
      <c r="C289" s="63"/>
      <c r="D289" s="63"/>
      <c r="E289" s="49">
        <f t="shared" si="774"/>
        <v>18724170</v>
      </c>
      <c r="F289" s="49">
        <f>SUM(F290:F291)</f>
        <v>18178800</v>
      </c>
      <c r="G289" s="49">
        <f>SUM(G290:G291)</f>
        <v>545370</v>
      </c>
      <c r="H289" s="49">
        <f>J289+K289</f>
        <v>1488084</v>
      </c>
      <c r="I289" s="49">
        <f>H289*100/E289</f>
        <v>7.9473963331886006</v>
      </c>
      <c r="J289" s="49">
        <f>SUM(J290:J291)</f>
        <v>1306200</v>
      </c>
      <c r="K289" s="49">
        <f>SUM(K290:K291)</f>
        <v>181884</v>
      </c>
      <c r="L289" s="49">
        <f>N289+O289</f>
        <v>0</v>
      </c>
      <c r="M289" s="48"/>
      <c r="N289" s="49">
        <f>SUM(N290:N291)</f>
        <v>0</v>
      </c>
      <c r="O289" s="49">
        <f>SUM(O290:O291)</f>
        <v>0</v>
      </c>
      <c r="P289" s="49">
        <f>R289+S289</f>
        <v>17236086</v>
      </c>
      <c r="Q289" s="49">
        <f t="shared" si="780"/>
        <v>92.052603666811393</v>
      </c>
      <c r="R289" s="49">
        <f>F289-J289-N289</f>
        <v>16872600</v>
      </c>
      <c r="S289" s="49">
        <f>G289-K289-O289</f>
        <v>363486</v>
      </c>
    </row>
    <row r="290" spans="1:20" ht="30" customHeight="1" x14ac:dyDescent="0.5">
      <c r="A290" s="15">
        <v>250</v>
      </c>
      <c r="B290" s="53" t="str">
        <f>[40]รายการสรุป!$E$5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90" s="24" t="str">
        <f>[40]รายการสรุป!$I$5</f>
        <v>0700341029420080</v>
      </c>
      <c r="D290" s="6" t="s">
        <v>88</v>
      </c>
      <c r="E290" s="7">
        <f t="shared" ref="E290" si="783">F290+G290</f>
        <v>10815000</v>
      </c>
      <c r="F290" s="7">
        <f>[40]รายการสรุป!$J$5</f>
        <v>10500000</v>
      </c>
      <c r="G290" s="8">
        <f>[40]รายการสรุป!$J$7</f>
        <v>315000</v>
      </c>
      <c r="H290" s="7">
        <f t="shared" ref="H290" si="784">J290+K290</f>
        <v>1386148</v>
      </c>
      <c r="I290" s="7">
        <f t="shared" ref="I290" si="785">H290*100/E290</f>
        <v>12.816902450300509</v>
      </c>
      <c r="J290" s="7">
        <f>1306200</f>
        <v>1306200</v>
      </c>
      <c r="K290" s="7">
        <f>8320+1280+9280+3840+5820+9280+4640+10560+16540+10388</f>
        <v>79948</v>
      </c>
      <c r="L290" s="7">
        <f t="shared" ref="L290" si="786">N290+O290</f>
        <v>0</v>
      </c>
      <c r="M290" s="7">
        <f t="shared" ref="M290" si="787">L290*100/E290</f>
        <v>0</v>
      </c>
      <c r="N290" s="7">
        <v>0</v>
      </c>
      <c r="O290" s="7">
        <v>0</v>
      </c>
      <c r="P290" s="7">
        <f t="shared" ref="P290" si="788">R290+S290</f>
        <v>9428852</v>
      </c>
      <c r="Q290" s="7">
        <f t="shared" ref="Q290" si="789">P290*100/E290</f>
        <v>87.183097549699497</v>
      </c>
      <c r="R290" s="7">
        <f t="shared" ref="R290" si="790">F290-J290-N290</f>
        <v>9193800</v>
      </c>
      <c r="S290" s="7">
        <f t="shared" ref="S290" si="791">G290-K290-O290</f>
        <v>235052</v>
      </c>
    </row>
    <row r="291" spans="1:20" ht="50.25" customHeight="1" x14ac:dyDescent="0.5">
      <c r="A291" s="15">
        <v>251</v>
      </c>
      <c r="B291" s="53" t="str">
        <f>[40]รายการสรุป!$E$6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91" s="24" t="str">
        <f>[40]รายการสรุป!$I$6</f>
        <v>0700341029420081</v>
      </c>
      <c r="D291" s="6" t="s">
        <v>88</v>
      </c>
      <c r="E291" s="7">
        <f t="shared" ref="E291" si="792">F291+G291</f>
        <v>7909170</v>
      </c>
      <c r="F291" s="7">
        <f>[40]รายการสรุป!$J$6</f>
        <v>7678800</v>
      </c>
      <c r="G291" s="8">
        <f>[40]รายการสรุป!$J$8</f>
        <v>230370</v>
      </c>
      <c r="H291" s="7">
        <f t="shared" ref="H291" si="793">J291+K291</f>
        <v>101936</v>
      </c>
      <c r="I291" s="7">
        <f t="shared" ref="I291" si="794">H291*100/E291</f>
        <v>1.2888330886806074</v>
      </c>
      <c r="J291" s="7">
        <v>0</v>
      </c>
      <c r="K291" s="7">
        <f>4978+6382+27140+1760+49810+11866</f>
        <v>101936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7807234</v>
      </c>
      <c r="Q291" s="7">
        <f t="shared" ref="Q291" si="798">P291*100/E291</f>
        <v>98.711166911319395</v>
      </c>
      <c r="R291" s="7">
        <f t="shared" ref="R291" si="799">F291-J291-N291</f>
        <v>7678800</v>
      </c>
      <c r="S291" s="7">
        <f t="shared" ref="S291" si="800">G291-K291-O291</f>
        <v>128434</v>
      </c>
    </row>
    <row r="292" spans="1:20" ht="30" customHeight="1" x14ac:dyDescent="0.5">
      <c r="A292" s="15"/>
      <c r="B292" s="55" t="s">
        <v>93</v>
      </c>
      <c r="C292" s="64"/>
      <c r="D292" s="64"/>
      <c r="E292" s="56">
        <f t="shared" ref="E292:E293" si="801">F292+G292</f>
        <v>2242700</v>
      </c>
      <c r="F292" s="57">
        <f>F293+F306+F311+F314</f>
        <v>0</v>
      </c>
      <c r="G292" s="56">
        <f>SUM(G293:G294)</f>
        <v>2242700</v>
      </c>
      <c r="H292" s="57">
        <f>J292+K292</f>
        <v>914927.8</v>
      </c>
      <c r="I292" s="55">
        <f>H292*100/E292</f>
        <v>40.795817541356399</v>
      </c>
      <c r="J292" s="57">
        <f>J293</f>
        <v>0</v>
      </c>
      <c r="K292" s="57">
        <f>SUM(K293:K294)</f>
        <v>914927.8</v>
      </c>
      <c r="L292" s="57">
        <f>N292+O292</f>
        <v>0</v>
      </c>
      <c r="M292" s="55">
        <f>L292*100/E292</f>
        <v>0</v>
      </c>
      <c r="N292" s="57">
        <f>N293</f>
        <v>0</v>
      </c>
      <c r="O292" s="57">
        <f>SUM(O293:O294)</f>
        <v>0</v>
      </c>
      <c r="P292" s="57">
        <f>R292+S292</f>
        <v>1327772.2</v>
      </c>
      <c r="Q292" s="56">
        <f>P292*100/E292</f>
        <v>59.204182458643601</v>
      </c>
      <c r="R292" s="57">
        <f>F292-J292-N292</f>
        <v>0</v>
      </c>
      <c r="S292" s="57">
        <f>G292-K292-O292</f>
        <v>1327772.2</v>
      </c>
      <c r="T292" s="26">
        <f>I292+Q292</f>
        <v>100</v>
      </c>
    </row>
    <row r="293" spans="1:20" ht="30" customHeight="1" x14ac:dyDescent="0.5">
      <c r="A293" s="15">
        <v>252</v>
      </c>
      <c r="B293" s="53" t="str">
        <f>[41]รายการสรุป!$E$5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3" s="24" t="str">
        <f>[41]รายการสรุป!$I$5</f>
        <v>0700341031410001</v>
      </c>
      <c r="D293" s="6" t="s">
        <v>89</v>
      </c>
      <c r="E293" s="7">
        <f t="shared" si="801"/>
        <v>1902700</v>
      </c>
      <c r="F293" s="7">
        <v>0</v>
      </c>
      <c r="G293" s="8">
        <f>[41]รายการสรุป!$J$5</f>
        <v>1902700</v>
      </c>
      <c r="H293" s="7">
        <f t="shared" ref="H293" si="802">J293+K293</f>
        <v>754958.1</v>
      </c>
      <c r="I293" s="7">
        <f t="shared" ref="I293" si="803">H293*100/E293</f>
        <v>39.678251957744259</v>
      </c>
      <c r="J293" s="7">
        <v>0</v>
      </c>
      <c r="K293" s="7">
        <f>4450+20632+333792.1+216324+179760</f>
        <v>754958.1</v>
      </c>
      <c r="L293" s="7">
        <f t="shared" ref="L293" si="804">N293+O293</f>
        <v>0</v>
      </c>
      <c r="M293" s="7">
        <f t="shared" ref="M293" si="805">L293*100/E293</f>
        <v>0</v>
      </c>
      <c r="N293" s="7">
        <v>0</v>
      </c>
      <c r="O293" s="7">
        <v>0</v>
      </c>
      <c r="P293" s="7">
        <f t="shared" ref="P293" si="806">R293+S293</f>
        <v>1147741.8999999999</v>
      </c>
      <c r="Q293" s="7">
        <f t="shared" ref="Q293" si="807">P293*100/E293</f>
        <v>60.321748042255734</v>
      </c>
      <c r="R293" s="7">
        <f t="shared" ref="R293" si="808">F293-J293-N293</f>
        <v>0</v>
      </c>
      <c r="S293" s="7">
        <f t="shared" ref="S293" si="809">G293-K293-O293</f>
        <v>1147741.8999999999</v>
      </c>
    </row>
    <row r="294" spans="1:20" ht="48" customHeight="1" x14ac:dyDescent="0.5">
      <c r="A294" s="15">
        <v>253</v>
      </c>
      <c r="B294" s="53" t="str">
        <f>[42]รายการสรุป!$E$5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4" s="24" t="str">
        <f>[42]รายการสรุป!$I$5</f>
        <v>0700341031200001</v>
      </c>
      <c r="D294" s="6" t="s">
        <v>94</v>
      </c>
      <c r="E294" s="7">
        <f t="shared" ref="E294:E295" si="810">F294+G294</f>
        <v>340000</v>
      </c>
      <c r="F294" s="7">
        <v>0</v>
      </c>
      <c r="G294" s="8">
        <f>[42]รายการสรุป!$J$5</f>
        <v>340000</v>
      </c>
      <c r="H294" s="7">
        <f t="shared" ref="H294:H298" si="811">J294+K294</f>
        <v>159969.70000000001</v>
      </c>
      <c r="I294" s="7">
        <f t="shared" ref="I294" si="812">H294*100/E294</f>
        <v>47.04991176470589</v>
      </c>
      <c r="J294" s="7">
        <v>0</v>
      </c>
      <c r="K294" s="7">
        <f>16814.7+4410+5535+16870+116340</f>
        <v>159969.70000000001</v>
      </c>
      <c r="L294" s="7">
        <f t="shared" ref="L294" si="813">N294+O294</f>
        <v>0</v>
      </c>
      <c r="M294" s="7">
        <f t="shared" ref="M294" si="814">L294*100/E294</f>
        <v>0</v>
      </c>
      <c r="N294" s="7">
        <v>0</v>
      </c>
      <c r="O294" s="7">
        <v>0</v>
      </c>
      <c r="P294" s="7">
        <f t="shared" ref="P294" si="815">R294+S294</f>
        <v>180030.3</v>
      </c>
      <c r="Q294" s="7">
        <f t="shared" ref="Q294" si="816">P294*100/E294</f>
        <v>52.950088235294118</v>
      </c>
      <c r="R294" s="7">
        <f t="shared" ref="R294" si="817">F294-J294-N294</f>
        <v>0</v>
      </c>
      <c r="S294" s="7">
        <f t="shared" ref="S294" si="818">G294-K294-O294</f>
        <v>180030.3</v>
      </c>
    </row>
    <row r="295" spans="1:20" ht="35.25" customHeight="1" x14ac:dyDescent="0.5">
      <c r="A295" s="15"/>
      <c r="B295" s="78" t="s">
        <v>105</v>
      </c>
      <c r="C295" s="79"/>
      <c r="D295" s="79"/>
      <c r="E295" s="80">
        <f t="shared" si="810"/>
        <v>36666300</v>
      </c>
      <c r="F295" s="81">
        <f>SUM(F296:F298)</f>
        <v>0</v>
      </c>
      <c r="G295" s="80">
        <f>SUM(G296:G303)</f>
        <v>36666300</v>
      </c>
      <c r="H295" s="81">
        <f>J295+K295</f>
        <v>0</v>
      </c>
      <c r="I295" s="78">
        <f>H295*100/E295</f>
        <v>0</v>
      </c>
      <c r="J295" s="81">
        <f>SUM(J296:J302)</f>
        <v>0</v>
      </c>
      <c r="K295" s="81">
        <f>SUM(K296:K303)</f>
        <v>0</v>
      </c>
      <c r="L295" s="81">
        <f>N295+O295</f>
        <v>0</v>
      </c>
      <c r="M295" s="78">
        <f>L295*100/E295</f>
        <v>0</v>
      </c>
      <c r="N295" s="81">
        <f>SUM(N296:N302)</f>
        <v>0</v>
      </c>
      <c r="O295" s="81">
        <f>SUM(O296:O302)</f>
        <v>0</v>
      </c>
      <c r="P295" s="81">
        <f>R295+S295</f>
        <v>36666300</v>
      </c>
      <c r="Q295" s="80">
        <f>P295*100/E295</f>
        <v>100</v>
      </c>
      <c r="R295" s="81">
        <f>F295-J295-N295</f>
        <v>0</v>
      </c>
      <c r="S295" s="81">
        <f>G295-K295-O295</f>
        <v>36666300</v>
      </c>
    </row>
    <row r="296" spans="1:20" ht="33.75" customHeight="1" x14ac:dyDescent="0.5">
      <c r="A296" s="15">
        <v>254</v>
      </c>
      <c r="B296" s="53" t="str">
        <f>[43]รายการสรุป!$E$5</f>
        <v>โครงการอ่างเก็บน้ำห้วยต้อง อ.แม่พริก จ.ลำปาง</v>
      </c>
      <c r="C296" s="24" t="str">
        <f>[43]รายการสรุป!$I$5</f>
        <v>909090101463</v>
      </c>
      <c r="D296" s="6" t="s">
        <v>106</v>
      </c>
      <c r="E296" s="7">
        <f t="shared" ref="E296" si="819">F296+G296</f>
        <v>879700</v>
      </c>
      <c r="F296" s="7">
        <v>0</v>
      </c>
      <c r="G296" s="8">
        <f>[43]รายการสรุป!$J$5</f>
        <v>879700</v>
      </c>
      <c r="H296" s="7">
        <f t="shared" si="811"/>
        <v>0</v>
      </c>
      <c r="I296" s="7">
        <f t="shared" ref="I296" si="820">H296*100/E296</f>
        <v>0</v>
      </c>
      <c r="J296" s="7">
        <v>0</v>
      </c>
      <c r="K296" s="7">
        <v>0</v>
      </c>
      <c r="L296" s="7">
        <f t="shared" ref="L296" si="821">N296+O296</f>
        <v>0</v>
      </c>
      <c r="M296" s="7">
        <f t="shared" ref="M296" si="822">L296*100/E296</f>
        <v>0</v>
      </c>
      <c r="N296" s="7">
        <v>0</v>
      </c>
      <c r="O296" s="7">
        <v>0</v>
      </c>
      <c r="P296" s="7">
        <f t="shared" ref="P296" si="823">R296+S296</f>
        <v>879700</v>
      </c>
      <c r="Q296" s="7">
        <f t="shared" ref="Q296" si="824">P296*100/E296</f>
        <v>100</v>
      </c>
      <c r="R296" s="7">
        <f t="shared" ref="R296" si="825">F296-J296-N296</f>
        <v>0</v>
      </c>
      <c r="S296" s="7">
        <f t="shared" ref="S296" si="826">G296-K296-O296</f>
        <v>879700</v>
      </c>
    </row>
    <row r="297" spans="1:20" ht="33.75" customHeight="1" x14ac:dyDescent="0.5">
      <c r="A297" s="15">
        <v>255</v>
      </c>
      <c r="B297" s="53" t="str">
        <f>[43]รายการสรุป!$E$6</f>
        <v>โครงการอ่างเก็บน้ำกห้วยน้ำม้า อ.เชียงของ จ.เชียงราย</v>
      </c>
      <c r="C297" s="24" t="str">
        <f>[43]รายการสรุป!$I$6</f>
        <v>909090101462</v>
      </c>
      <c r="D297" s="6" t="s">
        <v>106</v>
      </c>
      <c r="E297" s="7">
        <f t="shared" ref="E297:E302" si="827">F297+G297</f>
        <v>944300</v>
      </c>
      <c r="F297" s="7">
        <v>0</v>
      </c>
      <c r="G297" s="8">
        <f>[43]รายการสรุป!$J$6</f>
        <v>944300</v>
      </c>
      <c r="H297" s="7">
        <f t="shared" si="811"/>
        <v>0</v>
      </c>
      <c r="I297" s="7">
        <f t="shared" ref="I297:I298" si="828">H297*100/E297</f>
        <v>0</v>
      </c>
      <c r="J297" s="7">
        <v>0</v>
      </c>
      <c r="K297" s="7">
        <v>0</v>
      </c>
      <c r="L297" s="7">
        <f t="shared" ref="L297:L298" si="829">N297+O297</f>
        <v>0</v>
      </c>
      <c r="M297" s="7">
        <f t="shared" ref="M297:M299" si="830">L297*100/E297</f>
        <v>0</v>
      </c>
      <c r="N297" s="7">
        <v>0</v>
      </c>
      <c r="O297" s="7">
        <v>0</v>
      </c>
      <c r="P297" s="7">
        <f t="shared" ref="P297:P298" si="831">R297+S297</f>
        <v>944300</v>
      </c>
      <c r="Q297" s="7">
        <f t="shared" ref="Q297:Q298" si="832">P297*100/E297</f>
        <v>100</v>
      </c>
      <c r="R297" s="7">
        <f t="shared" ref="R297:R298" si="833">F297-J297-N297</f>
        <v>0</v>
      </c>
      <c r="S297" s="7">
        <f t="shared" ref="S297:S298" si="834">G297-K297-O297</f>
        <v>944300</v>
      </c>
    </row>
    <row r="298" spans="1:20" ht="33.75" customHeight="1" x14ac:dyDescent="0.5">
      <c r="A298" s="15">
        <v>256</v>
      </c>
      <c r="B298" s="53" t="str">
        <f>[43]รายการสรุป!$E$7</f>
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</c>
      <c r="C298" s="24" t="str">
        <f>[43]รายการสรุป!$I$7</f>
        <v>909090101465</v>
      </c>
      <c r="D298" s="6" t="s">
        <v>106</v>
      </c>
      <c r="E298" s="7">
        <f t="shared" si="827"/>
        <v>207000</v>
      </c>
      <c r="F298" s="7">
        <v>0</v>
      </c>
      <c r="G298" s="8">
        <f>[43]รายการสรุป!$J$7</f>
        <v>207000</v>
      </c>
      <c r="H298" s="7">
        <f t="shared" si="811"/>
        <v>0</v>
      </c>
      <c r="I298" s="7">
        <f t="shared" si="828"/>
        <v>0</v>
      </c>
      <c r="J298" s="7">
        <v>0</v>
      </c>
      <c r="K298" s="7">
        <v>0</v>
      </c>
      <c r="L298" s="7">
        <f t="shared" si="829"/>
        <v>0</v>
      </c>
      <c r="M298" s="7">
        <f t="shared" si="830"/>
        <v>0</v>
      </c>
      <c r="N298" s="7">
        <v>0</v>
      </c>
      <c r="O298" s="7">
        <v>0</v>
      </c>
      <c r="P298" s="7">
        <f t="shared" si="831"/>
        <v>207000</v>
      </c>
      <c r="Q298" s="7">
        <f t="shared" si="832"/>
        <v>100</v>
      </c>
      <c r="R298" s="7">
        <f t="shared" si="833"/>
        <v>0</v>
      </c>
      <c r="S298" s="7">
        <f t="shared" si="834"/>
        <v>207000</v>
      </c>
    </row>
    <row r="299" spans="1:20" ht="33.75" customHeight="1" x14ac:dyDescent="0.5">
      <c r="A299" s="15">
        <v>257</v>
      </c>
      <c r="B299" s="53" t="str">
        <f>[43]รายการสรุป!$E$8</f>
        <v>โครงการอ่างเก็บน้ำห้วยครึ่ง อ.เชียงของ จ.เชียงราย</v>
      </c>
      <c r="C299" s="24" t="str">
        <f>[43]รายการสรุป!$I$8</f>
        <v>909090101477</v>
      </c>
      <c r="D299" s="6" t="s">
        <v>107</v>
      </c>
      <c r="E299" s="7">
        <f t="shared" si="827"/>
        <v>699000</v>
      </c>
      <c r="F299" s="7">
        <v>0</v>
      </c>
      <c r="G299" s="8">
        <f>[43]รายการสรุป!$J$8</f>
        <v>699000</v>
      </c>
      <c r="H299" s="7">
        <f t="shared" ref="H299" si="835">J299+K299</f>
        <v>0</v>
      </c>
      <c r="I299" s="7">
        <f t="shared" ref="I299" si="836">H299*100/E299</f>
        <v>0</v>
      </c>
      <c r="J299" s="7">
        <v>0</v>
      </c>
      <c r="K299" s="7">
        <v>0</v>
      </c>
      <c r="L299" s="7">
        <f t="shared" ref="L299" si="837">N299+O299</f>
        <v>0</v>
      </c>
      <c r="M299" s="7">
        <f t="shared" si="830"/>
        <v>0</v>
      </c>
      <c r="N299" s="7">
        <v>0</v>
      </c>
      <c r="O299" s="7">
        <v>0</v>
      </c>
      <c r="P299" s="7">
        <f t="shared" ref="P299" si="838">R299+S299</f>
        <v>699000</v>
      </c>
      <c r="Q299" s="7">
        <f t="shared" ref="Q299" si="839">P299*100/E299</f>
        <v>100</v>
      </c>
      <c r="R299" s="7">
        <f t="shared" ref="R299" si="840">F299-J299-N299</f>
        <v>0</v>
      </c>
      <c r="S299" s="7">
        <f t="shared" ref="S299" si="841">G299-K299-O299</f>
        <v>699000</v>
      </c>
    </row>
    <row r="300" spans="1:20" ht="33.75" customHeight="1" x14ac:dyDescent="0.5">
      <c r="A300" s="15">
        <v>258</v>
      </c>
      <c r="B300" s="53" t="str">
        <f>[43]รายการสรุป!$E$9</f>
        <v>โครงการฝายทุ่งกว๋าวพร้อมระบบส่งน้ำ อ.เมืองปาน จ.ลำปาง (โครงการพิเศษ)</v>
      </c>
      <c r="C300" s="24" t="str">
        <f>[43]รายการสรุป!$I$9</f>
        <v>909090101474</v>
      </c>
      <c r="D300" s="6" t="s">
        <v>107</v>
      </c>
      <c r="E300" s="7">
        <f t="shared" si="827"/>
        <v>32002000</v>
      </c>
      <c r="F300" s="7">
        <v>0</v>
      </c>
      <c r="G300" s="8">
        <f>[43]รายการสรุป!$J$9</f>
        <v>32002000</v>
      </c>
      <c r="H300" s="7">
        <f t="shared" ref="H300:H302" si="842">J300+K300</f>
        <v>0</v>
      </c>
      <c r="I300" s="7">
        <f t="shared" ref="I300:I302" si="843">H300*100/E300</f>
        <v>0</v>
      </c>
      <c r="J300" s="7">
        <v>0</v>
      </c>
      <c r="K300" s="7">
        <v>0</v>
      </c>
      <c r="L300" s="7">
        <f t="shared" ref="L300:L302" si="844">N300+O300</f>
        <v>0</v>
      </c>
      <c r="M300" s="7">
        <f t="shared" ref="M300:M302" si="845">L300*100/E300</f>
        <v>0</v>
      </c>
      <c r="N300" s="7">
        <v>0</v>
      </c>
      <c r="O300" s="7">
        <v>0</v>
      </c>
      <c r="P300" s="7">
        <f t="shared" ref="P300:P302" si="846">R300+S300</f>
        <v>32002000</v>
      </c>
      <c r="Q300" s="7">
        <f t="shared" ref="Q300:Q302" si="847">P300*100/E300</f>
        <v>100</v>
      </c>
      <c r="R300" s="7">
        <f t="shared" ref="R300:R302" si="848">F300-J300-N300</f>
        <v>0</v>
      </c>
      <c r="S300" s="7">
        <f t="shared" ref="S300:S302" si="849">G300-K300-O300</f>
        <v>32002000</v>
      </c>
    </row>
    <row r="301" spans="1:20" ht="33.75" customHeight="1" x14ac:dyDescent="0.5">
      <c r="A301" s="15">
        <v>259</v>
      </c>
      <c r="B301" s="53" t="str">
        <f>[43]รายการสรุป!$E$10</f>
        <v>โครงการฝายทุ่งกว๋าวพร้อมระบบส่งน้ำ อ.เมืองปาน จ.ลำปาง (สชป.2)</v>
      </c>
      <c r="C301" s="24" t="str">
        <f>[43]รายการสรุป!$I$10</f>
        <v>909090101474</v>
      </c>
      <c r="D301" s="6" t="s">
        <v>107</v>
      </c>
      <c r="E301" s="7">
        <f t="shared" si="827"/>
        <v>798000</v>
      </c>
      <c r="F301" s="7">
        <v>0</v>
      </c>
      <c r="G301" s="8">
        <f>[43]รายการสรุป!$J$10</f>
        <v>798000</v>
      </c>
      <c r="H301" s="7">
        <f t="shared" si="842"/>
        <v>0</v>
      </c>
      <c r="I301" s="7">
        <f t="shared" si="843"/>
        <v>0</v>
      </c>
      <c r="J301" s="7">
        <v>0</v>
      </c>
      <c r="K301" s="7">
        <v>0</v>
      </c>
      <c r="L301" s="7">
        <f t="shared" si="844"/>
        <v>0</v>
      </c>
      <c r="M301" s="7">
        <f t="shared" si="845"/>
        <v>0</v>
      </c>
      <c r="N301" s="7">
        <v>0</v>
      </c>
      <c r="O301" s="7">
        <v>0</v>
      </c>
      <c r="P301" s="7">
        <f t="shared" si="846"/>
        <v>798000</v>
      </c>
      <c r="Q301" s="7">
        <f t="shared" si="847"/>
        <v>100</v>
      </c>
      <c r="R301" s="7">
        <f t="shared" si="848"/>
        <v>0</v>
      </c>
      <c r="S301" s="7">
        <f t="shared" si="849"/>
        <v>798000</v>
      </c>
    </row>
    <row r="302" spans="1:20" ht="33" customHeight="1" x14ac:dyDescent="0.5">
      <c r="A302" s="15">
        <v>260</v>
      </c>
      <c r="B302" s="53" t="str">
        <f>[43]รายการสรุป!$E$11</f>
        <v>โครงการอ่างเก็บน้ำห้วยหม้ออุ่งอันเนื่องมาจากพระราชดำริ อ.พาน จ.เชียงราย</v>
      </c>
      <c r="C302" s="24" t="str">
        <f>[43]รายการสรุป!$I$11</f>
        <v>909090101476</v>
      </c>
      <c r="D302" s="6" t="s">
        <v>107</v>
      </c>
      <c r="E302" s="7">
        <f t="shared" si="827"/>
        <v>687500</v>
      </c>
      <c r="F302" s="7">
        <v>0</v>
      </c>
      <c r="G302" s="8">
        <f>[43]รายการสรุป!$J$11</f>
        <v>687500</v>
      </c>
      <c r="H302" s="7">
        <f t="shared" si="842"/>
        <v>0</v>
      </c>
      <c r="I302" s="7">
        <f t="shared" si="843"/>
        <v>0</v>
      </c>
      <c r="J302" s="7">
        <v>0</v>
      </c>
      <c r="K302" s="7">
        <v>0</v>
      </c>
      <c r="L302" s="7">
        <f t="shared" si="844"/>
        <v>0</v>
      </c>
      <c r="M302" s="7">
        <f t="shared" si="845"/>
        <v>0</v>
      </c>
      <c r="N302" s="7">
        <v>0</v>
      </c>
      <c r="O302" s="7">
        <v>0</v>
      </c>
      <c r="P302" s="7">
        <f t="shared" si="846"/>
        <v>687500</v>
      </c>
      <c r="Q302" s="7">
        <f t="shared" si="847"/>
        <v>100</v>
      </c>
      <c r="R302" s="7">
        <f t="shared" si="848"/>
        <v>0</v>
      </c>
      <c r="S302" s="7">
        <f t="shared" si="849"/>
        <v>687500</v>
      </c>
    </row>
    <row r="303" spans="1:20" ht="33.75" customHeight="1" x14ac:dyDescent="0.5">
      <c r="A303" s="15">
        <v>261</v>
      </c>
      <c r="B303" s="53" t="str">
        <f>[43]รายการสรุป!$E$12</f>
        <v>โครงการสถานีสูบน้ำด้วยไฟฟ้าพร้อมระบบส่งน้ำบ้านทุ่งศรีเกิด อ.ขุนตาล จ.เชียงราย</v>
      </c>
      <c r="C303" s="24" t="str">
        <f>[43]รายการสรุป!$I$12</f>
        <v>909090101494</v>
      </c>
      <c r="D303" s="6" t="s">
        <v>113</v>
      </c>
      <c r="E303" s="7">
        <f t="shared" ref="E303" si="850">F303+G303</f>
        <v>448800</v>
      </c>
      <c r="F303" s="7">
        <v>0</v>
      </c>
      <c r="G303" s="8">
        <f>[43]รายการสรุป!$J$12</f>
        <v>448800</v>
      </c>
      <c r="H303" s="7">
        <f t="shared" ref="H303" si="851">J303+K303</f>
        <v>0</v>
      </c>
      <c r="I303" s="7">
        <f t="shared" ref="I303" si="852">H303*100/E303</f>
        <v>0</v>
      </c>
      <c r="J303" s="7">
        <v>0</v>
      </c>
      <c r="K303" s="7">
        <v>0</v>
      </c>
      <c r="L303" s="7">
        <f t="shared" ref="L303" si="853">N303+O303</f>
        <v>0</v>
      </c>
      <c r="M303" s="7">
        <f t="shared" ref="M303" si="854">L303*100/E303</f>
        <v>0</v>
      </c>
      <c r="N303" s="7">
        <v>0</v>
      </c>
      <c r="O303" s="7">
        <v>0</v>
      </c>
      <c r="P303" s="7">
        <f t="shared" ref="P303" si="855">R303+S303</f>
        <v>448800</v>
      </c>
      <c r="Q303" s="7">
        <f t="shared" ref="Q303" si="856">P303*100/E303</f>
        <v>100</v>
      </c>
      <c r="R303" s="7">
        <f t="shared" ref="R303" si="857">F303-J303-N303</f>
        <v>0</v>
      </c>
      <c r="S303" s="7">
        <f t="shared" ref="S303" si="858">G303-K303-O303</f>
        <v>448800</v>
      </c>
    </row>
    <row r="304" spans="1:20" ht="27.75" customHeight="1" x14ac:dyDescent="0.5">
      <c r="A304" s="20"/>
      <c r="B304" s="65"/>
      <c r="C304" s="65"/>
      <c r="D304" s="66"/>
      <c r="E304" s="20"/>
      <c r="F304" s="65"/>
      <c r="G304" s="65"/>
      <c r="H304" s="10"/>
      <c r="I304" s="20"/>
      <c r="J304" s="65"/>
      <c r="K304" s="65"/>
      <c r="L304" s="10"/>
      <c r="M304" s="20"/>
      <c r="N304" s="65"/>
      <c r="O304" s="65"/>
      <c r="P304" s="10"/>
      <c r="Q304" s="20"/>
      <c r="R304" s="65"/>
      <c r="S304" s="65"/>
    </row>
    <row r="306" spans="17:19" x14ac:dyDescent="0.5">
      <c r="Q306" s="82" t="s">
        <v>11</v>
      </c>
      <c r="R306" s="82"/>
      <c r="S306" s="82"/>
    </row>
    <row r="307" spans="17:19" x14ac:dyDescent="0.5">
      <c r="Q307" s="82" t="s">
        <v>12</v>
      </c>
      <c r="R307" s="82"/>
      <c r="S307" s="82"/>
    </row>
    <row r="308" spans="17:19" x14ac:dyDescent="0.5">
      <c r="Q308" s="82" t="s">
        <v>13</v>
      </c>
      <c r="R308" s="82"/>
      <c r="S308" s="82"/>
    </row>
    <row r="309" spans="17:19" x14ac:dyDescent="0.5">
      <c r="Q309" s="82" t="s">
        <v>14</v>
      </c>
      <c r="R309" s="82"/>
      <c r="S309" s="82"/>
    </row>
  </sheetData>
  <mergeCells count="11">
    <mergeCell ref="Q306:S306"/>
    <mergeCell ref="Q307:S307"/>
    <mergeCell ref="Q308:S308"/>
    <mergeCell ref="Q309:S309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zoomScale="115" zoomScaleNormal="115" workbookViewId="0">
      <pane ySplit="3" topLeftCell="A4" activePane="bottomLeft" state="frozen"/>
      <selection activeCell="O29" sqref="O29"/>
      <selection pane="bottomLeft" activeCell="B8" sqref="B8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27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28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[44]รายการสรุป!$E$8</f>
        <v>โครงการอ่างเก็บน้ำห้วยทราย จ.พะเยา</v>
      </c>
      <c r="C7" s="24" t="str">
        <f>[44]รายการสรุป!$I$8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[45]รายการสรุป!$J$5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[46]รายการสรุป!$E$5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[46]รายการสรุป!$I$5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[46]รายการสรุป!$J$5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[46]รายการสรุป!$E$6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[46]รายการสรุป!$I$6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[46]รายการสรุป!$J$6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[46]รายการสรุป!$E$7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[46]รายการสรุป!$I$7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[46]รายการสรุป!$J$7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[46]รายการสรุป!$E$8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[46]รายการสรุป!$I$8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[46]รายการสรุป!$J$8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[46]รายการสรุป!$E$9</f>
        <v>ซ่อมแซมสีตัวอาคารที่ทำการสำนักงานฯ สำนักงานชลประทานที่ 2</v>
      </c>
      <c r="C14" s="24" t="str">
        <f>[46]รายการสรุป!$I$9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[46]รายการสรุป!$J$9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[46]รายการสรุป!$E$10</f>
        <v>ซ่อมแซมคลังเก็บเอกสารและอุปกรณ์ สำนักงานชลประทานที่ 2</v>
      </c>
      <c r="C15" s="24" t="str">
        <f>[46]รายการสรุป!$I$10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[46]รายการสรุป!$J$10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[46]รายการสรุป!$E$11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[46]รายการสรุป!$I$11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[46]รายการสรุป!$J$11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[47]รายการสรุป!$E$5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[47]รายการสรุป!$I$5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82" t="s">
        <v>11</v>
      </c>
      <c r="R21" s="82"/>
      <c r="S21" s="82"/>
    </row>
    <row r="22" spans="1:19" x14ac:dyDescent="0.5">
      <c r="Q22" s="82" t="s">
        <v>12</v>
      </c>
      <c r="R22" s="82"/>
      <c r="S22" s="82"/>
    </row>
    <row r="23" spans="1:19" x14ac:dyDescent="0.5">
      <c r="Q23" s="82" t="s">
        <v>13</v>
      </c>
      <c r="R23" s="82"/>
      <c r="S23" s="82"/>
    </row>
    <row r="24" spans="1:19" x14ac:dyDescent="0.5">
      <c r="Q24" s="82" t="s">
        <v>14</v>
      </c>
      <c r="R24" s="82"/>
      <c r="S24" s="82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topLeftCell="E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74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75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256991.45</v>
      </c>
      <c r="I4" s="47">
        <f>H4*100/E4</f>
        <v>16.265281645569619</v>
      </c>
      <c r="J4" s="47">
        <f>J5</f>
        <v>0</v>
      </c>
      <c r="K4" s="47">
        <f>K5</f>
        <v>256991.45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1323008.55</v>
      </c>
      <c r="Q4" s="47">
        <f>P4*100/E4</f>
        <v>83.734718354430385</v>
      </c>
      <c r="R4" s="47">
        <f t="shared" ref="R4:S8" si="2">F4-J4-N4</f>
        <v>0</v>
      </c>
      <c r="S4" s="47">
        <f>G4-K4-O4</f>
        <v>1323008.55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256991.45</v>
      </c>
      <c r="I5" s="12">
        <f>H5*100/E5</f>
        <v>16.265281645569619</v>
      </c>
      <c r="J5" s="12">
        <f>SUM(J6)</f>
        <v>0</v>
      </c>
      <c r="K5" s="12">
        <f>SUM(K6:K8)</f>
        <v>256991.45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1323008.55</v>
      </c>
      <c r="Q5" s="12">
        <f>P5*100/E5</f>
        <v>83.734718354430385</v>
      </c>
      <c r="R5" s="12">
        <f t="shared" si="2"/>
        <v>0</v>
      </c>
      <c r="S5" s="45">
        <f t="shared" si="2"/>
        <v>1323008.55</v>
      </c>
    </row>
    <row r="6" spans="1:20" ht="36.75" customHeight="1" x14ac:dyDescent="0.5">
      <c r="A6" s="21">
        <v>1</v>
      </c>
      <c r="B6" s="17" t="str">
        <f>[48]รายการสรุป!$E$5</f>
        <v>โครงการฝายทุ่งผึ้งพร้อมระบบส่งน้ำ อ.เทิง จ.เชียงราย</v>
      </c>
      <c r="C6" s="25">
        <f>[48]รายการสรุป!$I$5</f>
        <v>9090940010</v>
      </c>
      <c r="D6" s="24" t="s">
        <v>97</v>
      </c>
      <c r="E6" s="7">
        <f t="shared" si="0"/>
        <v>490000</v>
      </c>
      <c r="F6" s="7">
        <v>0</v>
      </c>
      <c r="G6" s="8">
        <f>[48]รายการสรุป!$J$5</f>
        <v>490000</v>
      </c>
      <c r="H6" s="7">
        <f t="shared" si="3"/>
        <v>36415</v>
      </c>
      <c r="I6" s="7">
        <f t="shared" ref="I6" si="4">H6*100/E6</f>
        <v>7.4316326530612242</v>
      </c>
      <c r="J6" s="7">
        <v>0</v>
      </c>
      <c r="K6" s="7">
        <f>25520+10895</f>
        <v>36415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453585</v>
      </c>
      <c r="Q6" s="7">
        <f t="shared" ref="Q6" si="8">P6*100/E6</f>
        <v>92.568367346938771</v>
      </c>
      <c r="R6" s="7">
        <f t="shared" si="2"/>
        <v>0</v>
      </c>
      <c r="S6" s="8">
        <f t="shared" si="2"/>
        <v>453585</v>
      </c>
    </row>
    <row r="7" spans="1:20" ht="33.75" customHeight="1" x14ac:dyDescent="0.5">
      <c r="A7" s="21">
        <v>2</v>
      </c>
      <c r="B7" s="17" t="str">
        <f>[48]รายการสรุป!$E$6</f>
        <v>โครงการอ่างเก็บน้ำห้วยก้างปลา อ.เวียงป่าเป้า จ.เชียงราย</v>
      </c>
      <c r="C7" s="25">
        <f>[48]รายการสรุป!$I$5</f>
        <v>9090940010</v>
      </c>
      <c r="D7" s="24" t="s">
        <v>97</v>
      </c>
      <c r="E7" s="7">
        <f t="shared" si="0"/>
        <v>810000</v>
      </c>
      <c r="F7" s="7">
        <v>0</v>
      </c>
      <c r="G7" s="8">
        <f>[48]รายการสรุป!$J$6</f>
        <v>810000</v>
      </c>
      <c r="H7" s="7">
        <f t="shared" si="3"/>
        <v>158794.70000000001</v>
      </c>
      <c r="I7" s="7">
        <f t="shared" ref="I7:I8" si="9">H7*100/E7</f>
        <v>19.604283950617287</v>
      </c>
      <c r="J7" s="7">
        <v>0</v>
      </c>
      <c r="K7" s="7">
        <f>57429+7256.35+58795.35+5920+20470+8924</f>
        <v>158794.70000000001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651205.30000000005</v>
      </c>
      <c r="Q7" s="7">
        <f t="shared" ref="Q7:Q8" si="13">P7*100/E7</f>
        <v>80.395716049382727</v>
      </c>
      <c r="R7" s="7">
        <f t="shared" si="2"/>
        <v>0</v>
      </c>
      <c r="S7" s="7">
        <f t="shared" si="2"/>
        <v>651205.30000000005</v>
      </c>
    </row>
    <row r="8" spans="1:20" ht="51.75" customHeight="1" x14ac:dyDescent="0.5">
      <c r="A8" s="21">
        <v>3</v>
      </c>
      <c r="B8" s="17" t="str">
        <f>[48]รายการสรุป!$E$7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[48]รายการสรุป!$I$5</f>
        <v>9090940010</v>
      </c>
      <c r="D8" s="21" t="s">
        <v>97</v>
      </c>
      <c r="E8" s="7">
        <f t="shared" si="0"/>
        <v>280000</v>
      </c>
      <c r="F8" s="7">
        <v>0</v>
      </c>
      <c r="G8" s="8">
        <f>[48]รายการสรุป!$J$7</f>
        <v>280000</v>
      </c>
      <c r="H8" s="7">
        <f t="shared" si="3"/>
        <v>61781.75</v>
      </c>
      <c r="I8" s="7">
        <f t="shared" si="9"/>
        <v>22.064910714285713</v>
      </c>
      <c r="J8" s="7">
        <v>0</v>
      </c>
      <c r="K8" s="7">
        <f>36281.75+25500</f>
        <v>61781.75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218218.25</v>
      </c>
      <c r="Q8" s="7">
        <f t="shared" si="13"/>
        <v>77.935089285714284</v>
      </c>
      <c r="R8" s="7">
        <f t="shared" si="2"/>
        <v>0</v>
      </c>
      <c r="S8" s="7">
        <f t="shared" si="2"/>
        <v>218218.25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82" t="s">
        <v>11</v>
      </c>
      <c r="R11" s="82"/>
      <c r="S11" s="82"/>
    </row>
    <row r="12" spans="1:20" x14ac:dyDescent="0.5">
      <c r="F12" s="38"/>
      <c r="G12" s="38"/>
      <c r="H12" s="38"/>
      <c r="I12" s="38"/>
      <c r="J12" s="39"/>
      <c r="K12" s="26"/>
      <c r="Q12" s="82" t="s">
        <v>12</v>
      </c>
      <c r="R12" s="82"/>
      <c r="S12" s="82"/>
    </row>
    <row r="13" spans="1:20" x14ac:dyDescent="0.5">
      <c r="Q13" s="82" t="s">
        <v>13</v>
      </c>
      <c r="R13" s="82"/>
      <c r="S13" s="82"/>
    </row>
    <row r="14" spans="1:20" x14ac:dyDescent="0.5">
      <c r="Q14" s="82" t="s">
        <v>14</v>
      </c>
      <c r="R14" s="82"/>
      <c r="S14" s="82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zoomScale="115" zoomScaleNormal="115" workbookViewId="0">
      <pane ySplit="3" topLeftCell="A4" activePane="bottomLeft" state="frozen"/>
      <selection activeCell="O29" sqref="O29"/>
      <selection pane="bottomLeft" activeCell="B7" sqref="B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83" t="s">
        <v>111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x14ac:dyDescent="0.5">
      <c r="A2" s="84" t="s">
        <v>0</v>
      </c>
      <c r="B2" s="85"/>
      <c r="C2" s="29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0" ht="26.25" customHeight="1" x14ac:dyDescent="0.5">
      <c r="A3" s="86"/>
      <c r="B3" s="87"/>
      <c r="C3" s="30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22619286.050000001</v>
      </c>
      <c r="I4" s="47">
        <f>H4*100/E4</f>
        <v>88.765740718938858</v>
      </c>
      <c r="J4" s="47">
        <f>J5</f>
        <v>0</v>
      </c>
      <c r="K4" s="47">
        <f>K5</f>
        <v>22619286.050000001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2862713.9499999993</v>
      </c>
      <c r="Q4" s="47">
        <f>P4*100/E4</f>
        <v>11.234259281061139</v>
      </c>
      <c r="R4" s="47">
        <f t="shared" ref="R4:S5" si="2">F4-J4-N4</f>
        <v>0</v>
      </c>
      <c r="S4" s="47">
        <f>G4-K4-O4</f>
        <v>2862713.9499999993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22619286.050000001</v>
      </c>
      <c r="I5" s="12">
        <f>H5*100/E5</f>
        <v>88.765740718938858</v>
      </c>
      <c r="J5" s="12">
        <f>SUM(J6)</f>
        <v>0</v>
      </c>
      <c r="K5" s="12">
        <f>SUM(K6)</f>
        <v>22619286.050000001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2862713.9499999993</v>
      </c>
      <c r="Q5" s="12">
        <f>P5*100/E5</f>
        <v>11.234259281061139</v>
      </c>
      <c r="R5" s="12">
        <f t="shared" si="2"/>
        <v>0</v>
      </c>
      <c r="S5" s="12">
        <f t="shared" si="2"/>
        <v>2862713.9499999993</v>
      </c>
    </row>
    <row r="6" spans="1:20" ht="33.75" customHeight="1" x14ac:dyDescent="0.5">
      <c r="A6" s="21"/>
      <c r="B6" s="17" t="str">
        <f>[49]รายการสรุป!$E$5</f>
        <v>อ่างเก็บน้ำแม่อางพร้อมระบบส่งน้ำ อ.แม่ทะ จ.ลำปาง</v>
      </c>
      <c r="C6" s="25" t="str">
        <f>[49]รายการสรุป!$I$5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[49]รายการสรุป!$J$5</f>
        <v>25482000</v>
      </c>
      <c r="H6" s="7">
        <f t="shared" ref="H6" si="3">J6+K6</f>
        <v>22619286.050000001</v>
      </c>
      <c r="I6" s="7">
        <f t="shared" ref="I6" si="4">H6*100/E6</f>
        <v>88.765740718938858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+4979+209684.3+356305.7+515092.2+273877.8+26753</f>
        <v>22619286.050000001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2862713.9499999993</v>
      </c>
      <c r="Q6" s="7">
        <f t="shared" ref="Q6" si="8">P6*100/E6</f>
        <v>11.234259281061139</v>
      </c>
      <c r="R6" s="7">
        <f t="shared" ref="R6" si="9">F6-J6-N6</f>
        <v>0</v>
      </c>
      <c r="S6" s="7">
        <f t="shared" ref="S6" si="10">G6-K6-O6</f>
        <v>2862713.9499999993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82" t="s">
        <v>11</v>
      </c>
      <c r="R9" s="82"/>
      <c r="S9" s="82"/>
    </row>
    <row r="10" spans="1:20" x14ac:dyDescent="0.5">
      <c r="F10" s="38"/>
      <c r="G10" s="38"/>
      <c r="H10" s="38"/>
      <c r="I10" s="38"/>
      <c r="J10" s="39"/>
      <c r="Q10" s="82" t="s">
        <v>12</v>
      </c>
      <c r="R10" s="82"/>
      <c r="S10" s="82"/>
    </row>
    <row r="11" spans="1:20" x14ac:dyDescent="0.5">
      <c r="Q11" s="82" t="s">
        <v>13</v>
      </c>
      <c r="R11" s="82"/>
      <c r="S11" s="82"/>
    </row>
    <row r="12" spans="1:20" x14ac:dyDescent="0.5">
      <c r="Q12" s="82" t="s">
        <v>14</v>
      </c>
      <c r="R12" s="82"/>
      <c r="S12" s="82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B6" sqref="B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x14ac:dyDescent="0.5">
      <c r="A2" s="84" t="s">
        <v>0</v>
      </c>
      <c r="B2" s="85"/>
      <c r="C2" s="58" t="s">
        <v>17</v>
      </c>
      <c r="D2" s="93" t="s">
        <v>1</v>
      </c>
      <c r="E2" s="90" t="s">
        <v>2</v>
      </c>
      <c r="F2" s="91"/>
      <c r="G2" s="92"/>
      <c r="H2" s="90" t="s">
        <v>7</v>
      </c>
      <c r="I2" s="91"/>
      <c r="J2" s="91"/>
      <c r="K2" s="92"/>
      <c r="L2" s="90" t="s">
        <v>8</v>
      </c>
      <c r="M2" s="91"/>
      <c r="N2" s="91"/>
      <c r="O2" s="92"/>
      <c r="P2" s="90" t="s">
        <v>9</v>
      </c>
      <c r="Q2" s="91"/>
      <c r="R2" s="91"/>
      <c r="S2" s="92"/>
    </row>
    <row r="3" spans="1:21" ht="26.25" customHeight="1" x14ac:dyDescent="0.5">
      <c r="A3" s="86"/>
      <c r="B3" s="87"/>
      <c r="C3" s="59" t="s">
        <v>18</v>
      </c>
      <c r="D3" s="9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[50]รายการสรุป!$E$5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[50]รายการสรุป!$I$5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[51]รายการสรุป!$J$5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95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[50]รายการสรุป!$E$6</f>
        <v>ฝายห้วยอ้อน้ำพร้อมระบบส่งน้ำ ต.บ้านค่า อ.เมือง จ.ลำปาง</v>
      </c>
      <c r="C9" s="24" t="str">
        <f>[50]รายการสรุป!$I$6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[51]รายการสรุป!$J$6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[50]รายการสรุป!$E$7</f>
        <v>ฝายแม่ยาวหัวแต ต.เกาะคา อ.เกาะคา จ.ลำปาง</v>
      </c>
      <c r="C10" s="25" t="str">
        <f>[50]รายการสรุป!$I$7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[51]รายการสรุป!$J$7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[51]รายการสรุป!$E$5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[51]รายการสรุป!$I$5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[51]รายการสรุป!$E$6</f>
        <v>ฝายห้วยอ้อน้ำพร้อมระบบส่งน้ำ ต.บ้านค่า อ.เมือง จ.ลำปาง</v>
      </c>
      <c r="C15" s="25" t="str">
        <f>[51]รายการสรุป!$I$6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[51]รายการสรุป!$E$7</f>
        <v>ฝายแม่ยาวหัวแต ต.เกาะคา อ.เกาะคา จ.ลำปาง</v>
      </c>
      <c r="C16" s="25" t="str">
        <f>[51]รายการสรุป!$I$7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82" t="s">
        <v>11</v>
      </c>
      <c r="R19" s="82"/>
      <c r="S19" s="82"/>
    </row>
    <row r="20" spans="1:19" x14ac:dyDescent="0.5">
      <c r="F20" s="38"/>
      <c r="G20" s="38"/>
      <c r="H20" s="38"/>
      <c r="I20" s="38"/>
      <c r="J20" s="39"/>
      <c r="K20" s="26"/>
      <c r="Q20" s="82" t="s">
        <v>12</v>
      </c>
      <c r="R20" s="82"/>
      <c r="S20" s="82"/>
    </row>
    <row r="21" spans="1:19" x14ac:dyDescent="0.5">
      <c r="Q21" s="82" t="s">
        <v>13</v>
      </c>
      <c r="R21" s="82"/>
      <c r="S21" s="82"/>
    </row>
    <row r="22" spans="1:19" x14ac:dyDescent="0.5">
      <c r="Q22" s="82" t="s">
        <v>14</v>
      </c>
      <c r="R22" s="82"/>
      <c r="S22" s="82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zoomScale="115" zoomScaleNormal="115" workbookViewId="0">
      <pane ySplit="3" topLeftCell="A4" activePane="bottomLeft" state="frozen"/>
      <selection activeCell="O29" sqref="O29"/>
      <selection pane="bottomLeft" activeCell="J6" sqref="J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9.375" style="22" customWidth="1"/>
    <col min="4" max="4" width="13.75" style="1" customWidth="1"/>
    <col min="5" max="5" width="12.625" style="1" customWidth="1"/>
    <col min="6" max="7" width="12.5" style="1" customWidth="1"/>
    <col min="8" max="8" width="7.125" style="1" customWidth="1"/>
    <col min="9" max="9" width="11.25" style="1" customWidth="1"/>
    <col min="10" max="10" width="12.125" style="1" customWidth="1"/>
    <col min="11" max="11" width="12.375" style="1" customWidth="1"/>
    <col min="12" max="12" width="8.25" style="1" customWidth="1"/>
    <col min="13" max="13" width="10.25" style="1" customWidth="1"/>
    <col min="14" max="14" width="11.875" style="1" customWidth="1"/>
    <col min="15" max="15" width="12.875" style="1" customWidth="1"/>
    <col min="16" max="16" width="7.875" style="1" customWidth="1"/>
    <col min="17" max="17" width="11.125" style="1" customWidth="1"/>
    <col min="18" max="18" width="12.25" style="1" customWidth="1"/>
    <col min="19" max="16384" width="9" style="1"/>
  </cols>
  <sheetData>
    <row r="1" spans="1:19" ht="33" customHeight="1" x14ac:dyDescent="0.6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x14ac:dyDescent="0.5">
      <c r="A2" s="84" t="s">
        <v>0</v>
      </c>
      <c r="B2" s="85"/>
      <c r="C2" s="93" t="s">
        <v>1</v>
      </c>
      <c r="D2" s="90" t="s">
        <v>2</v>
      </c>
      <c r="E2" s="91"/>
      <c r="F2" s="92"/>
      <c r="G2" s="90" t="s">
        <v>7</v>
      </c>
      <c r="H2" s="91"/>
      <c r="I2" s="91"/>
      <c r="J2" s="92"/>
      <c r="K2" s="90" t="s">
        <v>8</v>
      </c>
      <c r="L2" s="91"/>
      <c r="M2" s="91"/>
      <c r="N2" s="92"/>
      <c r="O2" s="90" t="s">
        <v>9</v>
      </c>
      <c r="P2" s="91"/>
      <c r="Q2" s="91"/>
      <c r="R2" s="92"/>
    </row>
    <row r="3" spans="1:19" ht="26.25" customHeight="1" x14ac:dyDescent="0.5">
      <c r="A3" s="86"/>
      <c r="B3" s="87"/>
      <c r="C3" s="94"/>
      <c r="D3" s="2" t="s">
        <v>3</v>
      </c>
      <c r="E3" s="2" t="s">
        <v>4</v>
      </c>
      <c r="F3" s="3" t="s">
        <v>5</v>
      </c>
      <c r="G3" s="2" t="s">
        <v>3</v>
      </c>
      <c r="H3" s="2" t="s">
        <v>6</v>
      </c>
      <c r="I3" s="2" t="s">
        <v>4</v>
      </c>
      <c r="J3" s="2" t="s">
        <v>5</v>
      </c>
      <c r="K3" s="2" t="s">
        <v>3</v>
      </c>
      <c r="L3" s="2" t="s">
        <v>6</v>
      </c>
      <c r="M3" s="2" t="s">
        <v>4</v>
      </c>
      <c r="N3" s="2" t="s">
        <v>5</v>
      </c>
      <c r="O3" s="2" t="s">
        <v>3</v>
      </c>
      <c r="P3" s="2" t="s">
        <v>6</v>
      </c>
      <c r="Q3" s="77" t="s">
        <v>4</v>
      </c>
      <c r="R3" s="2" t="s">
        <v>5</v>
      </c>
    </row>
    <row r="4" spans="1:19" ht="30.75" customHeight="1" x14ac:dyDescent="0.5">
      <c r="A4" s="4"/>
      <c r="B4" s="46" t="s">
        <v>101</v>
      </c>
      <c r="C4" s="46"/>
      <c r="D4" s="47">
        <f t="shared" ref="D4" si="0">E4+F4</f>
        <v>29776444.68</v>
      </c>
      <c r="E4" s="47">
        <f>SUM(E5)</f>
        <v>0</v>
      </c>
      <c r="F4" s="47">
        <f>SUM(F5)</f>
        <v>29776444.68</v>
      </c>
      <c r="G4" s="47">
        <f t="shared" ref="G4" si="1">I4+J4</f>
        <v>5524008.0500000007</v>
      </c>
      <c r="H4" s="47">
        <f>G4*100/D4</f>
        <v>18.551603824315272</v>
      </c>
      <c r="I4" s="47">
        <f>SUM(I5)</f>
        <v>0</v>
      </c>
      <c r="J4" s="47">
        <f>SUM(J5)</f>
        <v>5524008.0500000007</v>
      </c>
      <c r="K4" s="47">
        <f>M4+N4</f>
        <v>0</v>
      </c>
      <c r="L4" s="47">
        <f>K4*100/D4</f>
        <v>0</v>
      </c>
      <c r="M4" s="47">
        <f>SUM(M5)</f>
        <v>0</v>
      </c>
      <c r="N4" s="47">
        <f>SUM(N5)</f>
        <v>0</v>
      </c>
      <c r="O4" s="47">
        <f>D4-G4-K4</f>
        <v>24252436.629999999</v>
      </c>
      <c r="P4" s="47">
        <f>O4*100/D4</f>
        <v>81.448396175684735</v>
      </c>
      <c r="Q4" s="47">
        <f t="shared" ref="Q4:R5" si="2">E4-I4-M4</f>
        <v>0</v>
      </c>
      <c r="R4" s="47">
        <f>F4-J4-N4</f>
        <v>24252436.629999999</v>
      </c>
      <c r="S4" s="26"/>
    </row>
    <row r="5" spans="1:19" ht="33.75" customHeight="1" x14ac:dyDescent="0.5">
      <c r="A5" s="21"/>
      <c r="B5" s="17" t="s">
        <v>102</v>
      </c>
      <c r="C5" s="24" t="s">
        <v>103</v>
      </c>
      <c r="D5" s="7">
        <f>E5+F5</f>
        <v>29776444.68</v>
      </c>
      <c r="E5" s="7">
        <v>0</v>
      </c>
      <c r="F5" s="8">
        <v>29776444.68</v>
      </c>
      <c r="G5" s="7">
        <v>0</v>
      </c>
      <c r="H5" s="7">
        <f t="shared" ref="H5" si="3">G5*100/D5</f>
        <v>0</v>
      </c>
      <c r="I5" s="7">
        <v>0</v>
      </c>
      <c r="J5" s="7">
        <f>473776+1283879.6+2160+19968+92000+80925+94270+8880+1528964.05+29220+469620+395606.4+6480+453420+364866+219973</f>
        <v>5524008.0500000007</v>
      </c>
      <c r="K5" s="7">
        <f t="shared" ref="K5" si="4">M5+N5</f>
        <v>0</v>
      </c>
      <c r="L5" s="7">
        <f t="shared" ref="L5" si="5">K5*100/D5</f>
        <v>0</v>
      </c>
      <c r="M5" s="7">
        <v>0</v>
      </c>
      <c r="N5" s="7">
        <v>0</v>
      </c>
      <c r="O5" s="7">
        <f t="shared" ref="O5" si="6">Q5+R5</f>
        <v>24252436.629999999</v>
      </c>
      <c r="P5" s="7">
        <f t="shared" ref="P5" si="7">O5*100/D5</f>
        <v>81.448396175684735</v>
      </c>
      <c r="Q5" s="7">
        <f t="shared" si="2"/>
        <v>0</v>
      </c>
      <c r="R5" s="7">
        <f t="shared" si="2"/>
        <v>24252436.629999999</v>
      </c>
    </row>
    <row r="6" spans="1:19" ht="33.75" customHeight="1" x14ac:dyDescent="0.5">
      <c r="A6" s="41"/>
      <c r="B6" s="20"/>
      <c r="C6" s="42"/>
      <c r="D6" s="10"/>
      <c r="E6" s="10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8" spans="1:19" x14ac:dyDescent="0.5">
      <c r="P8" s="82" t="s">
        <v>11</v>
      </c>
      <c r="Q8" s="82"/>
      <c r="R8" s="82"/>
    </row>
    <row r="9" spans="1:19" x14ac:dyDescent="0.5">
      <c r="E9" s="38"/>
      <c r="F9" s="38"/>
      <c r="G9" s="38"/>
      <c r="H9" s="38"/>
      <c r="I9" s="39"/>
      <c r="P9" s="82" t="s">
        <v>12</v>
      </c>
      <c r="Q9" s="82"/>
      <c r="R9" s="82"/>
    </row>
    <row r="10" spans="1:19" x14ac:dyDescent="0.5">
      <c r="P10" s="82" t="s">
        <v>13</v>
      </c>
      <c r="Q10" s="82"/>
      <c r="R10" s="82"/>
    </row>
    <row r="11" spans="1:19" x14ac:dyDescent="0.5">
      <c r="P11" s="82" t="s">
        <v>14</v>
      </c>
      <c r="Q11" s="82"/>
      <c r="R11" s="82"/>
    </row>
  </sheetData>
  <mergeCells count="11">
    <mergeCell ref="P8:R8"/>
    <mergeCell ref="P9:R9"/>
    <mergeCell ref="P10:R10"/>
    <mergeCell ref="P11:R11"/>
    <mergeCell ref="A1:R1"/>
    <mergeCell ref="A2:B3"/>
    <mergeCell ref="C2:C3"/>
    <mergeCell ref="D2:F2"/>
    <mergeCell ref="G2:J2"/>
    <mergeCell ref="K2:N2"/>
    <mergeCell ref="O2:R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2017-07-04T02:53:24Z</dcterms:modified>
</cp:coreProperties>
</file>