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 activeTab="1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calcPr calcId="152511"/>
</workbook>
</file>

<file path=xl/calcChain.xml><?xml version="1.0" encoding="utf-8"?>
<calcChain xmlns="http://schemas.openxmlformats.org/spreadsheetml/2006/main">
  <c r="K196" i="1" l="1"/>
  <c r="K195" i="1"/>
  <c r="K247" i="1"/>
  <c r="K192" i="1"/>
  <c r="K183" i="1"/>
  <c r="J5" i="12" l="1"/>
  <c r="J285" i="1" l="1"/>
  <c r="K286" i="1"/>
  <c r="K181" i="1"/>
  <c r="K7" i="11"/>
  <c r="K278" i="1" l="1"/>
  <c r="K264" i="1"/>
  <c r="K237" i="1"/>
  <c r="K265" i="1"/>
  <c r="K218" i="1"/>
  <c r="K182" i="1"/>
  <c r="K18" i="1"/>
  <c r="K187" i="1"/>
  <c r="K7" i="1"/>
  <c r="K99" i="1"/>
  <c r="K77" i="1"/>
  <c r="K75" i="1"/>
  <c r="K79" i="1"/>
  <c r="K70" i="1"/>
  <c r="K78" i="1"/>
  <c r="K81" i="1"/>
  <c r="K76" i="1"/>
  <c r="K80" i="1"/>
  <c r="K6" i="8" l="1"/>
  <c r="K277" i="1" l="1"/>
  <c r="K285" i="1"/>
  <c r="K236" i="1"/>
  <c r="K240" i="1"/>
  <c r="K238" i="1"/>
  <c r="K251" i="1"/>
  <c r="K225" i="1"/>
  <c r="K221" i="1"/>
  <c r="K215" i="1"/>
  <c r="K223" i="1"/>
  <c r="K220" i="1"/>
  <c r="K74" i="1"/>
  <c r="K73" i="1"/>
  <c r="K71" i="1"/>
  <c r="K179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88" i="1" l="1"/>
  <c r="K244" i="1" l="1"/>
  <c r="K243" i="1"/>
  <c r="K241" i="1"/>
  <c r="K62" i="1"/>
  <c r="K63" i="1"/>
  <c r="K272" i="1" l="1"/>
  <c r="K203" i="1"/>
  <c r="K206" i="1"/>
  <c r="K217" i="1"/>
  <c r="K125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235" i="1" l="1"/>
  <c r="K248" i="1"/>
  <c r="K194" i="1"/>
  <c r="K193" i="1" s="1"/>
  <c r="K9" i="1" l="1"/>
  <c r="K177" i="1"/>
  <c r="K32" i="1"/>
  <c r="K29" i="1"/>
  <c r="K43" i="1"/>
  <c r="K191" i="1" l="1"/>
  <c r="K14" i="1"/>
  <c r="G289" i="1" l="1"/>
  <c r="G288" i="1"/>
  <c r="K292" i="1" l="1"/>
  <c r="K190" i="1"/>
  <c r="K9" i="9" l="1"/>
  <c r="K10" i="9"/>
  <c r="K188" i="1"/>
  <c r="K189" i="1"/>
  <c r="K269" i="1"/>
  <c r="K82" i="1" l="1"/>
  <c r="K7" i="9" l="1"/>
  <c r="K7" i="7" l="1"/>
  <c r="K13" i="7" l="1"/>
  <c r="K65" i="1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64" i="1" l="1"/>
  <c r="K291" i="1" l="1"/>
  <c r="K49" i="1"/>
  <c r="K10" i="1"/>
  <c r="K13" i="1" l="1"/>
  <c r="G274" i="1" l="1"/>
  <c r="S274" i="1" s="1"/>
  <c r="C274" i="1"/>
  <c r="B274" i="1"/>
  <c r="R274" i="1"/>
  <c r="L274" i="1"/>
  <c r="H274" i="1"/>
  <c r="O273" i="1"/>
  <c r="N273" i="1"/>
  <c r="L273" i="1"/>
  <c r="K273" i="1"/>
  <c r="J273" i="1"/>
  <c r="H273" i="1"/>
  <c r="G273" i="1"/>
  <c r="F273" i="1"/>
  <c r="R273" i="1" l="1"/>
  <c r="E273" i="1"/>
  <c r="E274" i="1"/>
  <c r="I274" i="1" s="1"/>
  <c r="M274" i="1"/>
  <c r="P274" i="1"/>
  <c r="Q274" i="1" s="1"/>
  <c r="I273" i="1"/>
  <c r="S273" i="1"/>
  <c r="P273" i="1" s="1"/>
  <c r="Q273" i="1" l="1"/>
  <c r="N5" i="11"/>
  <c r="N4" i="11" s="1"/>
  <c r="O5" i="11"/>
  <c r="O4" i="11" s="1"/>
  <c r="K5" i="11"/>
  <c r="K4" i="11" s="1"/>
  <c r="G8" i="11"/>
  <c r="S8" i="11" s="1"/>
  <c r="P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G5" i="11"/>
  <c r="G4" i="11" s="1"/>
  <c r="L5" i="11"/>
  <c r="E7" i="11"/>
  <c r="M7" i="11" s="1"/>
  <c r="R4" i="11"/>
  <c r="E6" i="11"/>
  <c r="M6" i="11" s="1"/>
  <c r="H6" i="11"/>
  <c r="P7" i="11"/>
  <c r="H5" i="11"/>
  <c r="L4" i="11"/>
  <c r="R5" i="11"/>
  <c r="E8" i="11"/>
  <c r="I8" i="11" s="1"/>
  <c r="H7" i="11"/>
  <c r="Q6" i="11" l="1"/>
  <c r="I7" i="11"/>
  <c r="S5" i="11"/>
  <c r="Q7" i="11"/>
  <c r="E5" i="11"/>
  <c r="I5" i="11" s="1"/>
  <c r="I6" i="11"/>
  <c r="Q8" i="11"/>
  <c r="M8" i="11"/>
  <c r="H4" i="11"/>
  <c r="P5" i="11" l="1"/>
  <c r="Q5" i="11" s="1"/>
  <c r="M5" i="11"/>
  <c r="O11" i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6" i="1" l="1"/>
  <c r="K249" i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l="1"/>
  <c r="M292" i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P241" i="1" l="1"/>
  <c r="M243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M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I192" i="1" l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72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86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K34" i="1" l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K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G271" i="1"/>
  <c r="R272" i="1"/>
  <c r="L272" i="1"/>
  <c r="H272" i="1"/>
  <c r="S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L267" i="1" l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J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M235" i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S234" i="1" l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G180" i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J282" i="1" s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J245" i="1" s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C15" i="9"/>
  <c r="B15" i="9"/>
  <c r="O14" i="9"/>
  <c r="O11" i="9" s="1"/>
  <c r="L11" i="9" s="1"/>
  <c r="N14" i="9"/>
  <c r="L14" i="9"/>
  <c r="K14" i="9"/>
  <c r="J14" i="9"/>
  <c r="J11" i="9" s="1"/>
  <c r="G14" i="9"/>
  <c r="F14" i="9"/>
  <c r="R14" i="9" s="1"/>
  <c r="R13" i="9"/>
  <c r="L13" i="9"/>
  <c r="H13" i="9"/>
  <c r="G13" i="9"/>
  <c r="E13" i="9" s="1"/>
  <c r="M13" i="9" s="1"/>
  <c r="C13" i="9"/>
  <c r="B13" i="9"/>
  <c r="O12" i="9"/>
  <c r="N12" i="9"/>
  <c r="L12" i="9" s="1"/>
  <c r="M12" i="9" s="1"/>
  <c r="K12" i="9"/>
  <c r="H12" i="9" s="1"/>
  <c r="J12" i="9"/>
  <c r="G12" i="9"/>
  <c r="F12" i="9"/>
  <c r="E12" i="9"/>
  <c r="N11" i="9"/>
  <c r="G11" i="9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K8" i="9"/>
  <c r="J8" i="9"/>
  <c r="F8" i="9"/>
  <c r="R8" i="9" s="1"/>
  <c r="R7" i="9"/>
  <c r="L7" i="9"/>
  <c r="H7" i="9"/>
  <c r="G7" i="9"/>
  <c r="S7" i="9" s="1"/>
  <c r="C7" i="9"/>
  <c r="B7" i="9"/>
  <c r="O6" i="9"/>
  <c r="N6" i="9"/>
  <c r="L6" i="9" s="1"/>
  <c r="K6" i="9"/>
  <c r="J6" i="9"/>
  <c r="J4" i="9" s="1"/>
  <c r="F6" i="9"/>
  <c r="F5" i="9" s="1"/>
  <c r="N4" i="9"/>
  <c r="F4" i="9"/>
  <c r="I12" i="9" l="1"/>
  <c r="S13" i="9"/>
  <c r="P13" i="9" s="1"/>
  <c r="G6" i="9"/>
  <c r="E6" i="9" s="1"/>
  <c r="M6" i="9" s="1"/>
  <c r="O5" i="9"/>
  <c r="O4" i="9" s="1"/>
  <c r="L8" i="9"/>
  <c r="F11" i="9"/>
  <c r="R11" i="9" s="1"/>
  <c r="R12" i="9"/>
  <c r="E14" i="9"/>
  <c r="M14" i="9" s="1"/>
  <c r="H14" i="9"/>
  <c r="I14" i="9" s="1"/>
  <c r="P15" i="9"/>
  <c r="L4" i="9"/>
  <c r="E10" i="9"/>
  <c r="Q284" i="1"/>
  <c r="E7" i="9"/>
  <c r="M7" i="9" s="1"/>
  <c r="G8" i="9"/>
  <c r="M10" i="9"/>
  <c r="S282" i="1"/>
  <c r="P282" i="1" s="1"/>
  <c r="E282" i="1"/>
  <c r="I282" i="1" s="1"/>
  <c r="P16" i="9"/>
  <c r="S12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Q7" i="9" l="1"/>
  <c r="S6" i="9"/>
  <c r="Q282" i="1"/>
  <c r="G5" i="9"/>
  <c r="G4" i="9" s="1"/>
  <c r="E4" i="9" s="1"/>
  <c r="M4" i="9" s="1"/>
  <c r="I6" i="9"/>
  <c r="I7" i="9"/>
  <c r="E5" i="9"/>
  <c r="Q9" i="9"/>
  <c r="I9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S5" i="9" l="1"/>
  <c r="P5" i="9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J234" i="1" l="1"/>
  <c r="H234" i="1" s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P17" i="7" s="1"/>
  <c r="L17" i="7"/>
  <c r="H17" i="7"/>
  <c r="S17" i="7"/>
  <c r="C17" i="7"/>
  <c r="B17" i="7"/>
  <c r="N224" i="1" l="1"/>
  <c r="L224" i="1" s="1"/>
  <c r="L234" i="1"/>
  <c r="J222" i="1"/>
  <c r="H222" i="1" s="1"/>
  <c r="I222" i="1" s="1"/>
  <c r="J224" i="1"/>
  <c r="R224" i="1" s="1"/>
  <c r="P224" i="1" s="1"/>
  <c r="Q224" i="1" s="1"/>
  <c r="R234" i="1"/>
  <c r="P234" i="1" s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H224" i="1" l="1"/>
  <c r="I224" i="1" s="1"/>
  <c r="R222" i="1"/>
  <c r="P222" i="1" s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I248" i="1"/>
  <c r="M248" i="1"/>
  <c r="G4" i="1" l="1"/>
  <c r="E226" i="1"/>
  <c r="S226" i="1"/>
  <c r="P226" i="1" s="1"/>
  <c r="Q245" i="1"/>
  <c r="Q226" i="1" l="1"/>
  <c r="I226" i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<sst xmlns="http://schemas.openxmlformats.org/spreadsheetml/2006/main" count="549" uniqueCount="111">
  <si>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</si>
  <si>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</si>
  <si>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</si>
  <si>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</si>
  <si>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</si>
  <si>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</si>
  <si>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</si>
  <si>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</si>
  <si>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</si>
  <si>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</si>
  <si>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</si>
  <si>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</si>
  <si>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</si>
  <si>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</si>
  <si>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</si>
  <si>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</si>
  <si>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</si>
  <si>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</si>
  <si>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</si>
  <si>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</si>
  <si>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</si>
  <si>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</si>
  <si>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</si>
  <si>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</si>
  <si>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</si>
  <si>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</si>
  <si>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</si>
  <si>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</si>
  <si>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</si>
  <si>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</si>
  <si>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</si>
  <si>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</si>
  <si>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</si>
  <si>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</si>
  <si>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</si>
  <si>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</si>
  <si>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</si>
  <si>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</si>
  <si>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</si>
  <si>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</si>
  <si>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</si>
  <si>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</si>
  <si>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</si>
  <si>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</si>
  <si>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</si>
  <si>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</si>
  <si>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</si>
  <si>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</si>
  <si>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</si>
  <si>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</si>
  <si>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</si>
  <si>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</si>
  <si>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</si>
  <si>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</si>
  <si>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</si>
  <si>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</si>
  <si>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</si>
  <si>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</si>
  <si>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</si>
  <si>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</si>
  <si>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</si>
  <si>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</si>
  <si>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</si>
  <si>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</si>
  <si>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</si>
  <si>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</si>
  <si>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</si>
  <si>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</si>
  <si>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</si>
  <si>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</si>
  <si>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</si>
  <si>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</si>
  <si>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</si>
  <si>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</si>
  <si>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</si>
  <si>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</si>
  <si>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</si>
  <si>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</si>
  <si>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</si>
  <si>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</si>
  <si>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</si>
  <si>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</si>
  <si>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</si>
  <si>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</si>
  <si>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</si>
  <si>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</si>
  <si>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</si>
  <si>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</si>
  <si>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</si>
  <si>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</si>
  <si>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</si>
  <si>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</si>
  <si>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</si>
  <si>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</si>
  <si>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</si>
  <si>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</si>
  <si>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</si>
  <si>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</si>
  <si>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</si>
  <si>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</si>
  <si>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</si>
  <si>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</si>
  <si>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</si>
  <si>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</si>
  <si>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</si>
  <si>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</si>
  <si>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รายงานผลการเบิกจ่าย เงินงบประมาณ 2560  สำนักงานชลประทานที่ 2  ข้อมูลถึงณ วันที่ 5 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</si>
  <si>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5 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</si>
  <si>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5  พฤษภาคม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</si>
  <si>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 5  พฤษภาคม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</si>
  <si>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 5  พฤษภาคม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</si>
</sst>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3034400</v>
          </cell>
        </row>
        <row r="7">
          <cell r="I7" t="str">
            <v>0700338006410035</v>
          </cell>
          <cell r="J7">
            <v>2535000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8"/>
  <sheetViews>
    <sheetView topLeftCell="C1" zoomScale="115" zoomScaleNormal="115" workbookViewId="0">
      <pane ySplit="3" topLeftCell="A193" activePane="bottomLeft" state="frozen"/>
      <selection activeCell="O29" sqref="O29"/>
      <selection pane="bottomLeft" activeCell="K197" sqref="K197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6.7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79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67"/>
      <c r="D2" s="84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68"/>
      <c r="D3" s="8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139236773</v>
      </c>
      <c r="F4" s="5">
        <f>F5+F275</f>
        <v>62299900</v>
      </c>
      <c r="G4" s="5">
        <f>G5+G201+G226+G275+G290</f>
        <v>76936873</v>
      </c>
      <c r="H4" s="5">
        <f t="shared" ref="H4:H7" si="1">J4+K4</f>
        <v>42156304.519999996</v>
      </c>
      <c r="I4" s="5">
        <f>H4*100/E4</f>
        <v>30.276703209718882</v>
      </c>
      <c r="J4" s="5">
        <f>J5+J275</f>
        <v>1760050</v>
      </c>
      <c r="K4" s="5">
        <f>K5+K201+K226+K275+K290</f>
        <v>40396254.519999996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</f>
        <v>0</v>
      </c>
      <c r="P4" s="5">
        <f>E4-H4-L4</f>
        <v>97080468.480000004</v>
      </c>
      <c r="Q4" s="5">
        <f>P4*100/E4</f>
        <v>69.723296790281111</v>
      </c>
      <c r="R4" s="5">
        <f t="shared" ref="R4:S7" si="2">F4-J4-N4</f>
        <v>60539850</v>
      </c>
      <c r="S4" s="5">
        <f>G4-K4-O4</f>
        <v>36540618.480000004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30314403</v>
      </c>
      <c r="F5" s="52">
        <f>F6</f>
        <v>454000</v>
      </c>
      <c r="G5" s="51">
        <f>G6+G7+G8+G11+G69+G83+G101+G128+G180+G184+G193+G199</f>
        <v>29860403</v>
      </c>
      <c r="H5" s="52">
        <f>J5+K5</f>
        <v>24424075.489999998</v>
      </c>
      <c r="I5" s="52">
        <f>H5*100/E5</f>
        <v>80.56921157246606</v>
      </c>
      <c r="J5" s="52">
        <f>J6</f>
        <v>453850</v>
      </c>
      <c r="K5" s="52">
        <f>K6+K7+K8+K11+K69+K83+K101+K128+K180+K184+K193+K199</f>
        <v>23970225.489999998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5890327.5100000016</v>
      </c>
      <c r="Q5" s="51">
        <f>P5*100/E5</f>
        <v>19.43078842753394</v>
      </c>
      <c r="R5" s="52">
        <f>F5-J5-N5</f>
        <v>150</v>
      </c>
      <c r="S5" s="52">
        <f>G5-K5-O5</f>
        <v>5890177.5100000016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456619.99</v>
      </c>
      <c r="I7" s="7">
        <f t="shared" ref="I7" si="12">H7*100/E7</f>
        <v>45.661999000000002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</f>
        <v>456619.99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543380.01</v>
      </c>
      <c r="Q7" s="7">
        <f t="shared" ref="Q7" si="16">P7*100/E7</f>
        <v>54.338000999999998</v>
      </c>
      <c r="R7" s="7">
        <f t="shared" si="2"/>
        <v>0</v>
      </c>
      <c r="S7" s="7">
        <f t="shared" si="2"/>
        <v>543380.01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142851.60000000003</v>
      </c>
      <c r="I8" s="49">
        <f>H8*100/E8</f>
        <v>98.92770083102495</v>
      </c>
      <c r="J8" s="49">
        <f>SUM(J9:J10)</f>
        <v>0</v>
      </c>
      <c r="K8" s="49">
        <f>SUM(K9:K10)</f>
        <v>142851.60000000003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1548.3999999999651</v>
      </c>
      <c r="Q8" s="49">
        <f t="shared" ref="Q8:Q11" si="17">P8*100/E8</f>
        <v>1.072299168975045</v>
      </c>
      <c r="R8" s="49">
        <f>SUM(R9:R10)</f>
        <v>0</v>
      </c>
      <c r="S8" s="49">
        <f>G8-K8-O8</f>
        <v>1548.3999999999651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110144.60000000002</v>
      </c>
      <c r="I9" s="7">
        <f t="shared" ref="I9" si="19">H9*100/E9</f>
        <v>98.695878136200733</v>
      </c>
      <c r="J9" s="7">
        <v>0</v>
      </c>
      <c r="K9" s="7">
        <f>3660+6309+6309+5005.4+6309+6356.3+700+34510+12618+6309+8008.1+2551.8+11499</f>
        <v>110144.60000000002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1455.3999999999796</v>
      </c>
      <c r="Q9" s="7">
        <f t="shared" ref="Q9" si="23">P9*100/E9</f>
        <v>1.3041218637992649</v>
      </c>
      <c r="R9" s="7">
        <f t="shared" ref="R9" si="24">F9-J9-N9</f>
        <v>0</v>
      </c>
      <c r="S9" s="7">
        <f t="shared" ref="S9" si="25">G9-K9-O9</f>
        <v>1455.3999999999796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2002743.6800000002</v>
      </c>
      <c r="I11" s="49">
        <f>H11*100/E11</f>
        <v>80.125772354470911</v>
      </c>
      <c r="J11" s="49">
        <f>SUM(J12:J17)</f>
        <v>0</v>
      </c>
      <c r="K11" s="49">
        <f>SUM(K12:K68)</f>
        <v>2002743.6800000002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496756.31999999983</v>
      </c>
      <c r="Q11" s="49">
        <f t="shared" si="17"/>
        <v>19.8742276455291</v>
      </c>
      <c r="R11" s="49">
        <f>SUM(R12:R17)</f>
        <v>0</v>
      </c>
      <c r="S11" s="49">
        <f>G11-K11-O11</f>
        <v>496756.31999999983</v>
      </c>
      <c r="T11" s="26">
        <f>I11+M11+Q11</f>
        <v>100.00000000000001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31215</v>
      </c>
      <c r="I18" s="7">
        <f t="shared" ref="I18" si="52">H18*100/E18</f>
        <v>43.354166666666664</v>
      </c>
      <c r="J18" s="7">
        <v>0</v>
      </c>
      <c r="K18" s="7">
        <f>14115+9200+7900</f>
        <v>31215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40785</v>
      </c>
      <c r="Q18" s="7">
        <f t="shared" ref="Q18" si="56">P18*100/E18</f>
        <v>56.645833333333336</v>
      </c>
      <c r="R18" s="7">
        <f t="shared" ref="R18" si="57">F18-J18-N18</f>
        <v>0</v>
      </c>
      <c r="S18" s="7">
        <f t="shared" ref="S18" si="58">G18-K18-O18</f>
        <v>40785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15755.5</v>
      </c>
      <c r="I34" s="7">
        <f t="shared" si="70"/>
        <v>95.487878787878785</v>
      </c>
      <c r="J34" s="7">
        <v>0</v>
      </c>
      <c r="K34" s="7">
        <f>4431+480+6940.9+3903.6</f>
        <v>15755.5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744.5</v>
      </c>
      <c r="Q34" s="7">
        <f t="shared" si="74"/>
        <v>4.5121212121212118</v>
      </c>
      <c r="R34" s="7">
        <f t="shared" si="75"/>
        <v>0</v>
      </c>
      <c r="S34" s="7">
        <f t="shared" si="76"/>
        <v>744.5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30827.9</v>
      </c>
      <c r="I43" s="7">
        <f t="shared" si="70"/>
        <v>99.125080385852087</v>
      </c>
      <c r="J43" s="7">
        <v>0</v>
      </c>
      <c r="K43" s="7">
        <f>6940.9+10009+5638+6480+1280+480</f>
        <v>30827.9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272.09999999999854</v>
      </c>
      <c r="Q43" s="7">
        <f t="shared" si="74"/>
        <v>0.87491961414790531</v>
      </c>
      <c r="R43" s="7">
        <f t="shared" si="75"/>
        <v>0</v>
      </c>
      <c r="S43" s="7">
        <f t="shared" si="76"/>
        <v>272.09999999999854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28040</v>
      </c>
      <c r="I62" s="7">
        <f t="shared" ref="I62" si="88">H62*100/E62</f>
        <v>17.974358974358974</v>
      </c>
      <c r="J62" s="7">
        <v>0</v>
      </c>
      <c r="K62" s="7">
        <f>6200+21840</f>
        <v>28040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127960</v>
      </c>
      <c r="Q62" s="7">
        <f t="shared" ref="Q62" si="92">P62*100/E62</f>
        <v>82.025641025641022</v>
      </c>
      <c r="R62" s="7">
        <f t="shared" ref="R62" si="93">F62-J62-N62</f>
        <v>0</v>
      </c>
      <c r="S62" s="7">
        <f t="shared" ref="S62" si="94">G62-K62-O62</f>
        <v>127960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19576</v>
      </c>
      <c r="I63" s="7">
        <f t="shared" ref="I63:I65" si="97">H63*100/E63</f>
        <v>16.178512396694217</v>
      </c>
      <c r="J63" s="7">
        <v>0</v>
      </c>
      <c r="K63" s="7">
        <f>1976+17600</f>
        <v>19576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101424</v>
      </c>
      <c r="Q63" s="7">
        <f t="shared" ref="Q63:Q65" si="101">P63*100/E63</f>
        <v>83.821487603305783</v>
      </c>
      <c r="R63" s="7">
        <f t="shared" ref="R63:R65" si="102">F63-J63-N63</f>
        <v>0</v>
      </c>
      <c r="S63" s="7">
        <f t="shared" ref="S63:S65" si="103">G63-K63-O63</f>
        <v>101424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30399.18</v>
      </c>
      <c r="I64" s="7">
        <f t="shared" si="97"/>
        <v>27.460867208672088</v>
      </c>
      <c r="J64" s="7">
        <v>0</v>
      </c>
      <c r="K64" s="7">
        <f>24435+5964.18</f>
        <v>30399.18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80300.820000000007</v>
      </c>
      <c r="Q64" s="7">
        <f t="shared" si="101"/>
        <v>72.539132791327916</v>
      </c>
      <c r="R64" s="7">
        <f t="shared" si="102"/>
        <v>0</v>
      </c>
      <c r="S64" s="7">
        <f t="shared" si="103"/>
        <v>80300.820000000007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57252.62</v>
      </c>
      <c r="I65" s="7">
        <f t="shared" si="97"/>
        <v>43.079473288186605</v>
      </c>
      <c r="J65" s="7">
        <v>0</v>
      </c>
      <c r="K65" s="7">
        <f>10527.62+11360+35365</f>
        <v>57252.62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75647.38</v>
      </c>
      <c r="Q65" s="7">
        <f t="shared" si="101"/>
        <v>56.920526711813395</v>
      </c>
      <c r="R65" s="7">
        <f t="shared" si="102"/>
        <v>0</v>
      </c>
      <c r="S65" s="7">
        <f t="shared" si="103"/>
        <v>75647.38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0</v>
      </c>
      <c r="I68" s="7">
        <f t="shared" si="115"/>
        <v>0</v>
      </c>
      <c r="J68" s="7">
        <v>0</v>
      </c>
      <c r="K68" s="7">
        <v>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52500</v>
      </c>
      <c r="Q68" s="7">
        <f t="shared" si="119"/>
        <v>100</v>
      </c>
      <c r="R68" s="7">
        <f t="shared" si="120"/>
        <v>0</v>
      </c>
      <c r="S68" s="7">
        <f t="shared" si="121"/>
        <v>52500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9421579</v>
      </c>
      <c r="I69" s="49">
        <f>H69*100/E69</f>
        <v>88.134508886810096</v>
      </c>
      <c r="J69" s="49">
        <f>SUM(J70:J75)</f>
        <v>0</v>
      </c>
      <c r="K69" s="49">
        <f>SUM(K70:K82)</f>
        <v>9421579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1268421</v>
      </c>
      <c r="Q69" s="49">
        <f t="shared" si="47"/>
        <v>11.865491113189897</v>
      </c>
      <c r="R69" s="49">
        <f>SUM(R70:R75)</f>
        <v>0</v>
      </c>
      <c r="S69" s="49">
        <f>G69-K69-O69</f>
        <v>1268421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810331.74999999988</v>
      </c>
      <c r="I70" s="7">
        <f t="shared" ref="I70" si="124">H70*100/E70</f>
        <v>89.047445054945044</v>
      </c>
      <c r="J70" s="7">
        <v>0</v>
      </c>
      <c r="K70" s="7">
        <f>113870+72362+46520+90598+64428+95400+2080+94840+11987.1+56781+56781+7407.2+50794.45+2320+44163</f>
        <v>810331.74999999988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99668.250000000116</v>
      </c>
      <c r="Q70" s="7">
        <f t="shared" ref="Q70" si="128">P70*100/E70</f>
        <v>10.952554945054958</v>
      </c>
      <c r="R70" s="7">
        <f t="shared" ref="R70" si="129">F70-J70-N70</f>
        <v>0</v>
      </c>
      <c r="S70" s="7">
        <f t="shared" ref="S70" si="130">G70-K70-O70</f>
        <v>99668.250000000116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464478.89999999997</v>
      </c>
      <c r="I71" s="7">
        <f t="shared" ref="I71:I82" si="133">H71*100/E71</f>
        <v>92.895780000000002</v>
      </c>
      <c r="J71" s="7">
        <v>0</v>
      </c>
      <c r="K71" s="7">
        <f>55690+28560+44676+96810+28693+45559.8+24948+11987.1+25236+25236+11110.8+29025.4+11710.8+25236</f>
        <v>464478.89999999997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35521.100000000035</v>
      </c>
      <c r="Q71" s="7">
        <f t="shared" ref="Q71:Q84" si="137">P71*100/E71</f>
        <v>7.1042200000000078</v>
      </c>
      <c r="R71" s="7">
        <f t="shared" ref="R71:R82" si="138">F71-J71-N71</f>
        <v>0</v>
      </c>
      <c r="S71" s="7">
        <f t="shared" ref="S71:S82" si="139">G71-K71-O71</f>
        <v>35521.100000000035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336142.89999999997</v>
      </c>
      <c r="I72" s="7">
        <f t="shared" si="133"/>
        <v>67.228579999999994</v>
      </c>
      <c r="J72" s="7">
        <v>0</v>
      </c>
      <c r="K72" s="7">
        <f>55690+96810+28560+72744+45316.8+25035+11987.1</f>
        <v>336142.89999999997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163857.10000000003</v>
      </c>
      <c r="Q72" s="7">
        <f t="shared" si="137"/>
        <v>32.771420000000006</v>
      </c>
      <c r="R72" s="7">
        <f t="shared" si="138"/>
        <v>0</v>
      </c>
      <c r="S72" s="7">
        <f t="shared" si="139"/>
        <v>163857.10000000003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793982.1</v>
      </c>
      <c r="I73" s="7">
        <f t="shared" si="133"/>
        <v>88.22023333333334</v>
      </c>
      <c r="J73" s="7">
        <v>0</v>
      </c>
      <c r="K73" s="7">
        <f>44150+90000+57823+83658+80995.2+95648+19620+25035+11987.1+30982+44163+44163+25925.2+6390+50794.45+7256.35+31228.8+44163</f>
        <v>793982.1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106017.90000000002</v>
      </c>
      <c r="Q73" s="7">
        <f t="shared" si="137"/>
        <v>11.779766666666669</v>
      </c>
      <c r="R73" s="7">
        <f t="shared" si="138"/>
        <v>0</v>
      </c>
      <c r="S73" s="7">
        <f t="shared" si="139"/>
        <v>106017.90000000002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798602.99999999988</v>
      </c>
      <c r="I74" s="7">
        <f t="shared" si="133"/>
        <v>86.804673913043459</v>
      </c>
      <c r="J74" s="7">
        <v>0</v>
      </c>
      <c r="K74" s="7">
        <f>86295+99556.6+33440+97720+98796+87363+50400+24910+11987.1+37854+5392+37854+22221.6+43538.1+23421.6+37854</f>
        <v>798602.99999999988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121397.00000000012</v>
      </c>
      <c r="Q74" s="7">
        <f t="shared" si="137"/>
        <v>13.195326086956534</v>
      </c>
      <c r="R74" s="7">
        <f t="shared" si="138"/>
        <v>0</v>
      </c>
      <c r="S74" s="7">
        <f t="shared" si="139"/>
        <v>121397.00000000012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793340.99999999988</v>
      </c>
      <c r="I75" s="7">
        <f t="shared" si="133"/>
        <v>86.232717391304334</v>
      </c>
      <c r="J75" s="7">
        <v>0</v>
      </c>
      <c r="K75" s="7">
        <f>86295+87363+98796+86159+95401+99556.6+25040+11987.1+37854+37854+22221.6+43538.1+23421.6+37854</f>
        <v>793340.99999999988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126659.00000000012</v>
      </c>
      <c r="Q75" s="7">
        <f t="shared" si="137"/>
        <v>13.767282608695664</v>
      </c>
      <c r="R75" s="7">
        <f t="shared" si="138"/>
        <v>0</v>
      </c>
      <c r="S75" s="7">
        <f t="shared" si="139"/>
        <v>126659.00000000012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836203.9</v>
      </c>
      <c r="I76" s="7">
        <f t="shared" si="133"/>
        <v>90.89172826086957</v>
      </c>
      <c r="J76" s="7">
        <v>0</v>
      </c>
      <c r="K76" s="7">
        <f>86295+30205+95401+87363+99025.6+86159+98796+11987.1+37854+37854+6480+22221.6+58050.8+3120+31228.8+31545+12618</f>
        <v>836203.9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83796.099999999977</v>
      </c>
      <c r="Q76" s="7">
        <f t="shared" si="137"/>
        <v>9.1082717391304335</v>
      </c>
      <c r="R76" s="7">
        <f t="shared" si="138"/>
        <v>0</v>
      </c>
      <c r="S76" s="7">
        <f t="shared" si="139"/>
        <v>83796.099999999977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851471.5</v>
      </c>
      <c r="I77" s="7">
        <f t="shared" si="133"/>
        <v>88.694947916666663</v>
      </c>
      <c r="J77" s="7">
        <v>0</v>
      </c>
      <c r="K77" s="7">
        <f>159834.75+71250+99710+99085+90920+83920+34940+11987.1+38502+38502+18518+44282.65+21518+38502</f>
        <v>851471.5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108528.5</v>
      </c>
      <c r="Q77" s="7">
        <f t="shared" si="137"/>
        <v>11.305052083333333</v>
      </c>
      <c r="R77" s="7">
        <f t="shared" si="138"/>
        <v>0</v>
      </c>
      <c r="S77" s="7">
        <f t="shared" si="139"/>
        <v>108528.5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839675.74999999988</v>
      </c>
      <c r="I78" s="7">
        <f t="shared" si="133"/>
        <v>87.466223958333316</v>
      </c>
      <c r="J78" s="7">
        <v>0</v>
      </c>
      <c r="K78" s="7">
        <f>159834.75+34940+71250+83920+90920+99085+99710+11987.1+37854+37854+13816.2+43538.1+23421.6+31545</f>
        <v>839675.74999999988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120324.25000000012</v>
      </c>
      <c r="Q78" s="7">
        <f t="shared" si="137"/>
        <v>12.533776041666679</v>
      </c>
      <c r="R78" s="7">
        <f t="shared" si="138"/>
        <v>0</v>
      </c>
      <c r="S78" s="7">
        <f t="shared" si="139"/>
        <v>120324.25000000012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872316.74999999988</v>
      </c>
      <c r="I79" s="7">
        <f t="shared" si="133"/>
        <v>90.866328124999981</v>
      </c>
      <c r="J79" s="7">
        <v>0</v>
      </c>
      <c r="K79" s="7">
        <f>159834.75+91860+99225+83920+71250+22295+34830+78050+11987.1+44163+44163+3703.6+22221.6+43538.1+23421.6+37854</f>
        <v>872316.74999999988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87683.250000000116</v>
      </c>
      <c r="Q79" s="7">
        <f t="shared" si="137"/>
        <v>9.1336718750000117</v>
      </c>
      <c r="R79" s="7">
        <f t="shared" si="138"/>
        <v>0</v>
      </c>
      <c r="S79" s="7">
        <f t="shared" si="139"/>
        <v>87683.250000000116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853866.1</v>
      </c>
      <c r="I80" s="7">
        <f t="shared" si="133"/>
        <v>88.944385416666663</v>
      </c>
      <c r="J80" s="7">
        <v>0</v>
      </c>
      <c r="K80" s="7">
        <f>159834.75+83920+99225+91860+78050+71250+22295+34350+11987.1+37854+37854+14814.4+43538.1+7256.35+15614.4+37854+6309</f>
        <v>853866.1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106133.90000000002</v>
      </c>
      <c r="Q80" s="7">
        <f t="shared" si="137"/>
        <v>11.055614583333336</v>
      </c>
      <c r="R80" s="7">
        <f t="shared" si="138"/>
        <v>0</v>
      </c>
      <c r="S80" s="7">
        <f t="shared" si="139"/>
        <v>106133.90000000002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801838.79999999993</v>
      </c>
      <c r="I81" s="7">
        <f t="shared" si="133"/>
        <v>88.11415384615384</v>
      </c>
      <c r="J81" s="7">
        <v>0</v>
      </c>
      <c r="K81" s="7">
        <f>30205+132047.25+71177+62000+98840+73500+78884.8+20580+11987.1+6309+37854+6309+37854+22221.6+50794.45+23421.6+6309+31545</f>
        <v>801838.79999999993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108161.20000000007</v>
      </c>
      <c r="Q81" s="7">
        <f t="shared" si="137"/>
        <v>11.885846153846161</v>
      </c>
      <c r="R81" s="7">
        <f t="shared" si="138"/>
        <v>0</v>
      </c>
      <c r="S81" s="7">
        <f t="shared" si="139"/>
        <v>108161.20000000007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741589.5</v>
      </c>
      <c r="I83" s="49">
        <f>H83*100/E83</f>
        <v>90.603481979230295</v>
      </c>
      <c r="J83" s="49">
        <f>SUM(J84:J89)</f>
        <v>0</v>
      </c>
      <c r="K83" s="49">
        <f>SUM(K84:K100)</f>
        <v>741589.5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76910.5</v>
      </c>
      <c r="Q83" s="49">
        <f t="shared" si="137"/>
        <v>9.396518020769701</v>
      </c>
      <c r="R83" s="49">
        <f>SUM(R84:R89)</f>
        <v>0</v>
      </c>
      <c r="S83" s="49">
        <f>G83-K83-O83</f>
        <v>76910.5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52749.8</v>
      </c>
      <c r="I86" s="7">
        <f t="shared" si="149"/>
        <v>99.527924528301881</v>
      </c>
      <c r="J86" s="7">
        <v>0</v>
      </c>
      <c r="K86" s="7">
        <f>12734+13881.8+20018+6116</f>
        <v>52749.8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250.19999999999709</v>
      </c>
      <c r="Q86" s="7">
        <f t="shared" si="153"/>
        <v>0.47207547169810771</v>
      </c>
      <c r="R86" s="7">
        <f t="shared" si="154"/>
        <v>0</v>
      </c>
      <c r="S86" s="7">
        <f t="shared" si="155"/>
        <v>250.19999999999709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145002.04999999999</v>
      </c>
      <c r="I99" s="7">
        <f t="shared" ref="I99" si="176">H99*100/E99</f>
        <v>65.910022727272718</v>
      </c>
      <c r="J99" s="7">
        <v>0</v>
      </c>
      <c r="K99" s="7">
        <f>10025+18927+5463+6240+7520+5126+6378+18927+2970+21769.05+6240+4640+5610+18927+6240</f>
        <v>145002.04999999999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74997.950000000012</v>
      </c>
      <c r="Q99" s="7">
        <f t="shared" ref="Q99" si="180">P99*100/E99</f>
        <v>34.089977272727275</v>
      </c>
      <c r="R99" s="7">
        <f t="shared" ref="R99" si="181">F99-J99-N99</f>
        <v>0</v>
      </c>
      <c r="S99" s="7">
        <f t="shared" ref="S99" si="182">G99-K99-O99</f>
        <v>74997.950000000012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1006012.8999999999</v>
      </c>
      <c r="I101" s="49">
        <f>H101*100/E101</f>
        <v>99.216916365945934</v>
      </c>
      <c r="J101" s="49">
        <f>SUM(J102:J107)</f>
        <v>0</v>
      </c>
      <c r="K101" s="49">
        <f>SUM(K102:K127)</f>
        <v>1006012.8999999999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7940.1000000000931</v>
      </c>
      <c r="Q101" s="49">
        <f t="shared" si="162"/>
        <v>0.78308363405405312</v>
      </c>
      <c r="R101" s="49">
        <f>SUM(R102:R107)</f>
        <v>0</v>
      </c>
      <c r="S101" s="49">
        <f>G101-K101-O101</f>
        <v>7940.1000000000931</v>
      </c>
      <c r="T101" s="26">
        <f>I101+M101+Q101</f>
        <v>99.999999999999986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105344</v>
      </c>
      <c r="I125" s="7">
        <f t="shared" ref="I125:I127" si="228">H125*100/E125</f>
        <v>97.366742765243586</v>
      </c>
      <c r="J125" s="7">
        <v>0</v>
      </c>
      <c r="K125" s="7">
        <f>48359+24935+14960+3120+5920+8050</f>
        <v>105344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2849</v>
      </c>
      <c r="Q125" s="7">
        <f t="shared" ref="Q125:Q127" si="232">P125*100/E125</f>
        <v>2.6332572347564076</v>
      </c>
      <c r="R125" s="7">
        <f t="shared" ref="R125:R127" si="233">F125-J125-N125</f>
        <v>0</v>
      </c>
      <c r="S125" s="7">
        <f t="shared" ref="S125:S127" si="234">G125-K125-O125</f>
        <v>2849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522964.4</v>
      </c>
      <c r="I128" s="49">
        <f>H128*100/E128</f>
        <v>72.593614658523038</v>
      </c>
      <c r="J128" s="49">
        <f>SUM(J130:J136)</f>
        <v>0</v>
      </c>
      <c r="K128" s="49">
        <f>SUM(K129:K179)</f>
        <v>522964.4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197435.59999999998</v>
      </c>
      <c r="Q128" s="49">
        <f t="shared" si="205"/>
        <v>27.406385341476952</v>
      </c>
      <c r="R128" s="49">
        <f>SUM(R130:R134)</f>
        <v>0</v>
      </c>
      <c r="S128" s="49">
        <f>G128-K128-O128</f>
        <v>197435.59999999998</v>
      </c>
      <c r="T128" s="26">
        <f>I128+M128+Q128</f>
        <v>99.999999999999986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165889.70000000001</v>
      </c>
      <c r="I179" s="7">
        <f t="shared" ref="I179" si="280">H179*100/E179</f>
        <v>45.96555832640621</v>
      </c>
      <c r="J179" s="7">
        <v>0</v>
      </c>
      <c r="K179" s="7">
        <f>12618+10360+4640+12618+27720+10232+5957+6145+2320+7020+2800+14512.7+30020+18927</f>
        <v>165889.70000000001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195010.3</v>
      </c>
      <c r="Q179" s="7">
        <f t="shared" ref="Q179" si="284">P179*100/E179</f>
        <v>54.03444167359379</v>
      </c>
      <c r="R179" s="7">
        <f t="shared" ref="R179" si="285">F179-J179-N179</f>
        <v>0</v>
      </c>
      <c r="S179" s="7">
        <f t="shared" ref="S179" si="286">G179-K179-O179</f>
        <v>195010.3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7794400</v>
      </c>
      <c r="F180" s="49">
        <f>SUM(F182:F183)</f>
        <v>0</v>
      </c>
      <c r="G180" s="49">
        <f>SUM(G181:G183)</f>
        <v>7794400</v>
      </c>
      <c r="H180" s="49">
        <f>J180+K180</f>
        <v>5436637.2199999997</v>
      </c>
      <c r="I180" s="49">
        <f>H180*100/E180</f>
        <v>69.75055450066715</v>
      </c>
      <c r="J180" s="49">
        <f>SUM(J181:J182)</f>
        <v>0</v>
      </c>
      <c r="K180" s="49">
        <f>SUM(K181:K183)</f>
        <v>5436637.2199999997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2357762.7800000003</v>
      </c>
      <c r="Q180" s="49">
        <f t="shared" si="257"/>
        <v>30.249445499332857</v>
      </c>
      <c r="R180" s="49">
        <f>SUM(R182:R205)</f>
        <v>0</v>
      </c>
      <c r="S180" s="49">
        <f>G180-K180-O180</f>
        <v>2357762.7800000003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1462169.8999999997</v>
      </c>
      <c r="I181" s="7">
        <f t="shared" ref="I181" si="289">H181*100/E181</f>
        <v>65.715501123595487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</f>
        <v>1462169.8999999997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762830.10000000033</v>
      </c>
      <c r="Q181" s="7">
        <f t="shared" ref="Q181" si="293">P181*100/E181</f>
        <v>34.284498876404506</v>
      </c>
      <c r="R181" s="7">
        <f t="shared" ref="R181" si="294">F181-J181-N181</f>
        <v>0</v>
      </c>
      <c r="S181" s="7">
        <f t="shared" ref="S181" si="295">G181-K181-O181</f>
        <v>762830.10000000033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3034400</v>
      </c>
      <c r="F182" s="7">
        <v>0</v>
      </c>
      <c r="G182" s="8">
        <f>[18]รายการสรุป!$J$6</f>
        <v>3034400</v>
      </c>
      <c r="H182" s="7">
        <f t="shared" ref="H182" si="297">J182+K182</f>
        <v>2256402.3699999996</v>
      </c>
      <c r="I182" s="7">
        <f t="shared" ref="I182" si="298">H182*100/E182</f>
        <v>74.360742486158699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</f>
        <v>2256402.3699999996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777997.63000000035</v>
      </c>
      <c r="Q182" s="7">
        <f t="shared" ref="Q182:Q185" si="302">P182*100/E182</f>
        <v>25.639257513841297</v>
      </c>
      <c r="R182" s="7">
        <f t="shared" ref="R182" si="303">F182-J182-N182</f>
        <v>0</v>
      </c>
      <c r="S182" s="7">
        <f t="shared" ref="S182" si="304">G182-K182-O182</f>
        <v>777997.63000000035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2535000</v>
      </c>
      <c r="F183" s="7">
        <v>0</v>
      </c>
      <c r="G183" s="8">
        <f>[18]รายการสรุป!$J$7</f>
        <v>2535000</v>
      </c>
      <c r="H183" s="7">
        <f t="shared" ref="H183" si="306">J183+K183</f>
        <v>1718064.95</v>
      </c>
      <c r="I183" s="7">
        <f t="shared" ref="I183" si="307">H183*100/E183</f>
        <v>67.773765285996049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</f>
        <v>1718064.95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816935.05</v>
      </c>
      <c r="Q183" s="7">
        <f t="shared" ref="Q183" si="311">P183*100/E183</f>
        <v>32.226234714003944</v>
      </c>
      <c r="R183" s="7">
        <f t="shared" ref="R183" si="312">F183-J183-N183</f>
        <v>0</v>
      </c>
      <c r="S183" s="7">
        <f t="shared" ref="S183" si="313">G183-K183-O183</f>
        <v>816935.05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3497572</v>
      </c>
      <c r="I184" s="49">
        <f>H184*100/E184</f>
        <v>89.433670860182062</v>
      </c>
      <c r="J184" s="49">
        <f>SUM(J185:J186)</f>
        <v>0</v>
      </c>
      <c r="K184" s="49">
        <f>SUM(K185:K192)</f>
        <v>3497572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413228</v>
      </c>
      <c r="Q184" s="49">
        <f t="shared" si="302"/>
        <v>10.56632913981794</v>
      </c>
      <c r="R184" s="49">
        <f>SUM(R186:R210)</f>
        <v>0</v>
      </c>
      <c r="S184" s="49">
        <f>G184-K184-O184</f>
        <v>413228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695495.1</v>
      </c>
      <c r="I192" s="7">
        <f t="shared" si="359"/>
        <v>63.22682727272727</v>
      </c>
      <c r="J192" s="7">
        <v>0</v>
      </c>
      <c r="K192" s="7">
        <f>61387+13230+10290+40805+246068.1+210315+113400</f>
        <v>695495.1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404504.9</v>
      </c>
      <c r="Q192" s="7">
        <f t="shared" si="363"/>
        <v>36.77317272727273</v>
      </c>
      <c r="R192" s="7">
        <f t="shared" si="364"/>
        <v>0</v>
      </c>
      <c r="S192" s="7">
        <f t="shared" si="365"/>
        <v>404504.9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741655.2</v>
      </c>
      <c r="I193" s="49">
        <f>H193*100/E193</f>
        <v>58.938237070472681</v>
      </c>
      <c r="J193" s="49">
        <f>SUM(J194:J196)</f>
        <v>0</v>
      </c>
      <c r="K193" s="49">
        <f>SUM(K194:K198)</f>
        <v>741655.2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516704.80000000005</v>
      </c>
      <c r="Q193" s="49">
        <f t="shared" si="345"/>
        <v>41.061762929527326</v>
      </c>
      <c r="R193" s="49">
        <f>SUM(R195:R216)</f>
        <v>0</v>
      </c>
      <c r="S193" s="49">
        <f>G193-K193-O193</f>
        <v>516704.80000000005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179388</v>
      </c>
      <c r="I195" s="7">
        <f t="shared" ref="I195:I196" si="377">H195*100/E195</f>
        <v>80.083928571428572</v>
      </c>
      <c r="J195" s="7">
        <v>0</v>
      </c>
      <c r="K195" s="7">
        <f>37854+45360+37854+58320</f>
        <v>179388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44612</v>
      </c>
      <c r="Q195" s="7">
        <f t="shared" ref="Q195:Q199" si="381">P195*100/E195</f>
        <v>19.916071428571428</v>
      </c>
      <c r="R195" s="7">
        <f t="shared" ref="R195:R196" si="382">F195-J195-N195</f>
        <v>0</v>
      </c>
      <c r="S195" s="7">
        <f t="shared" ref="S195:S196" si="383">G195-K195-O195</f>
        <v>44612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246042</v>
      </c>
      <c r="I196" s="7">
        <f t="shared" si="377"/>
        <v>83.122297297297294</v>
      </c>
      <c r="J196" s="7">
        <v>0</v>
      </c>
      <c r="K196" s="7">
        <f>113562+132480</f>
        <v>246042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49958</v>
      </c>
      <c r="Q196" s="7">
        <f t="shared" si="381"/>
        <v>16.877702702702702</v>
      </c>
      <c r="R196" s="7">
        <f t="shared" si="382"/>
        <v>0</v>
      </c>
      <c r="S196" s="7">
        <f t="shared" si="383"/>
        <v>49958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0</v>
      </c>
      <c r="I198" s="7">
        <f t="shared" ref="I198" si="395">H198*100/E198</f>
        <v>0</v>
      </c>
      <c r="J198" s="7">
        <v>0</v>
      </c>
      <c r="K198" s="7">
        <v>0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281280</v>
      </c>
      <c r="Q198" s="7">
        <f t="shared" ref="Q198" si="399">P198*100/E198</f>
        <v>100</v>
      </c>
      <c r="R198" s="7">
        <f t="shared" ref="R198" si="400">F198-J198-N198</f>
        <v>0</v>
      </c>
      <c r="S198" s="7">
        <f t="shared" ref="S198" si="401">G198-K198-O198</f>
        <v>281280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1261690.79</v>
      </c>
      <c r="I201" s="7">
        <f>H201*100/E201</f>
        <v>22.644222513370902</v>
      </c>
      <c r="J201" s="50">
        <v>0</v>
      </c>
      <c r="K201" s="52">
        <f>K202+K209+K222+K224</f>
        <v>1261690.79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4310109.21</v>
      </c>
      <c r="Q201" s="51">
        <f>P201*100/E201</f>
        <v>77.355777486629094</v>
      </c>
      <c r="R201" s="50">
        <v>0</v>
      </c>
      <c r="S201" s="52">
        <f>G201-K201-O201</f>
        <v>4310109.21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184602.9</v>
      </c>
      <c r="I202" s="49">
        <f>H202*100/E202</f>
        <v>30.92175879396985</v>
      </c>
      <c r="J202" s="49">
        <f>SUM(J204:J213)</f>
        <v>0</v>
      </c>
      <c r="K202" s="49">
        <f>SUM(K203:K208)</f>
        <v>184602.9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412397.1</v>
      </c>
      <c r="Q202" s="7">
        <f t="shared" ref="Q202:Q203" si="411">P202*100/E202</f>
        <v>69.078241206030157</v>
      </c>
      <c r="R202" s="49">
        <f>SUM(R204:R211)</f>
        <v>0</v>
      </c>
      <c r="S202" s="49">
        <f>G202-K202-O202</f>
        <v>412397.1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0</v>
      </c>
      <c r="I207" s="7">
        <f t="shared" ref="I207" si="440">H207*100/E207</f>
        <v>0</v>
      </c>
      <c r="J207" s="7">
        <v>0</v>
      </c>
      <c r="K207" s="7">
        <v>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78000</v>
      </c>
      <c r="Q207" s="7">
        <f t="shared" ref="Q207" si="444">P207*100/E207</f>
        <v>100</v>
      </c>
      <c r="R207" s="7">
        <f t="shared" ref="R207" si="445">F207-J207-N207</f>
        <v>0</v>
      </c>
      <c r="S207" s="7">
        <f t="shared" ref="S207" si="446">G207-K207-O207</f>
        <v>78000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0</v>
      </c>
      <c r="I208" s="7">
        <f t="shared" ref="I208" si="449">H208*100/E208</f>
        <v>0</v>
      </c>
      <c r="J208" s="7">
        <v>0</v>
      </c>
      <c r="K208" s="7">
        <v>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108000</v>
      </c>
      <c r="Q208" s="7">
        <f t="shared" ref="Q208" si="453">P208*100/E208</f>
        <v>100</v>
      </c>
      <c r="R208" s="7">
        <f t="shared" ref="R208" si="454">F208-J208-N208</f>
        <v>0</v>
      </c>
      <c r="S208" s="7">
        <f t="shared" ref="S208" si="455">G208-K208-O208</f>
        <v>108000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833789.84</v>
      </c>
      <c r="I209" s="49">
        <f>H209*100/E209</f>
        <v>21.086716066867304</v>
      </c>
      <c r="J209" s="49">
        <f>SUM(J211:J217)</f>
        <v>0</v>
      </c>
      <c r="K209" s="49">
        <f>SUM(K210:K221)</f>
        <v>833789.84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3120310.16</v>
      </c>
      <c r="Q209" s="7">
        <f t="shared" si="426"/>
        <v>78.913283933132703</v>
      </c>
      <c r="R209" s="49">
        <f>SUM(R211:R215)</f>
        <v>0</v>
      </c>
      <c r="S209" s="49">
        <f>G209-K209-O209</f>
        <v>3120310.16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0</v>
      </c>
      <c r="I213" s="7">
        <f t="shared" si="467"/>
        <v>0</v>
      </c>
      <c r="J213" s="7">
        <v>0</v>
      </c>
      <c r="K213" s="7">
        <v>0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123000</v>
      </c>
      <c r="Q213" s="7">
        <f t="shared" si="471"/>
        <v>100</v>
      </c>
      <c r="R213" s="7">
        <f t="shared" si="472"/>
        <v>0</v>
      </c>
      <c r="S213" s="7">
        <f t="shared" si="473"/>
        <v>123000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138248.89000000001</v>
      </c>
      <c r="I215" s="7">
        <f t="shared" si="467"/>
        <v>24.882809575233985</v>
      </c>
      <c r="J215" s="7">
        <v>0</v>
      </c>
      <c r="K215" s="7">
        <f>66051.7+2953.6+35037.8+20939.79+13266</f>
        <v>138248.89000000001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417351.11</v>
      </c>
      <c r="Q215" s="7">
        <f t="shared" si="471"/>
        <v>75.117190424766022</v>
      </c>
      <c r="R215" s="7">
        <f t="shared" si="472"/>
        <v>0</v>
      </c>
      <c r="S215" s="7">
        <f t="shared" si="473"/>
        <v>417351.11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254536.59999999998</v>
      </c>
      <c r="I218" s="7">
        <f t="shared" ref="I218" si="476">H218*100/E218</f>
        <v>54.15672340425531</v>
      </c>
      <c r="J218" s="7">
        <v>0</v>
      </c>
      <c r="K218" s="7">
        <f>10591+51120+9409.9+33747+2080+2320+51120+9280+35638.7+3120+5200+36750+1040+3120</f>
        <v>254536.59999999998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215463.40000000002</v>
      </c>
      <c r="Q218" s="7">
        <f t="shared" ref="Q218" si="480">P218*100/E218</f>
        <v>45.84327659574469</v>
      </c>
      <c r="R218" s="7">
        <f t="shared" ref="R218" si="481">F218-J218-N218</f>
        <v>0</v>
      </c>
      <c r="S218" s="7">
        <f t="shared" ref="S218" si="482">G218-K218-O218</f>
        <v>215463.40000000002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0</v>
      </c>
      <c r="I219" s="7">
        <f t="shared" ref="I219" si="485">H219*100/E219</f>
        <v>0</v>
      </c>
      <c r="J219" s="7">
        <v>0</v>
      </c>
      <c r="K219" s="7">
        <v>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132000</v>
      </c>
      <c r="Q219" s="7">
        <f t="shared" ref="Q219" si="489">P219*100/E219</f>
        <v>100</v>
      </c>
      <c r="R219" s="7">
        <f t="shared" ref="R219" si="490">F219-J219-N219</f>
        <v>0</v>
      </c>
      <c r="S219" s="7">
        <f t="shared" ref="S219" si="491">G219-K219-O219</f>
        <v>132000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176974.45</v>
      </c>
      <c r="I220" s="7">
        <f t="shared" ref="I220:I221" si="494">H220*100/E220</f>
        <v>37.574193205944802</v>
      </c>
      <c r="J220" s="7">
        <v>0</v>
      </c>
      <c r="K220" s="7">
        <f>44163+44163+50794.45+37854</f>
        <v>176974.45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294025.55</v>
      </c>
      <c r="Q220" s="7">
        <f t="shared" ref="Q220:Q222" si="498">P220*100/E220</f>
        <v>62.425806794055198</v>
      </c>
      <c r="R220" s="7">
        <f t="shared" ref="R220:R221" si="499">F220-J220-N220</f>
        <v>0</v>
      </c>
      <c r="S220" s="7">
        <f t="shared" ref="S220:S221" si="500">G220-K220-O220</f>
        <v>294025.55</v>
      </c>
    </row>
    <row r="221" spans="1:19" ht="47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225229.90000000002</v>
      </c>
      <c r="I221" s="7">
        <f t="shared" si="494"/>
        <v>40.950890909090916</v>
      </c>
      <c r="J221" s="7">
        <v>0</v>
      </c>
      <c r="K221" s="7">
        <f>41323.95+15000+3000+3001.8+4520+46055.7+21718.9+22562+7035+14512.7+21695.5+7256.35+9159+2080+6309</f>
        <v>225229.90000000002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324770.09999999998</v>
      </c>
      <c r="Q221" s="7">
        <f t="shared" si="498"/>
        <v>59.049109090909084</v>
      </c>
      <c r="R221" s="7">
        <f t="shared" si="499"/>
        <v>0</v>
      </c>
      <c r="S221" s="7">
        <f t="shared" si="500"/>
        <v>324770.09999999998</v>
      </c>
    </row>
    <row r="222" spans="1:19" ht="39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11919300.050000001</v>
      </c>
      <c r="I222" s="49">
        <f>H222*100/E222</f>
        <v>2223.7500093283584</v>
      </c>
      <c r="J222" s="49">
        <f>SUM(J226:J276)</f>
        <v>11755800</v>
      </c>
      <c r="K222" s="49">
        <f>SUM(K223)</f>
        <v>163500.04999999999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-8770900.0500000007</v>
      </c>
      <c r="Q222" s="7">
        <f t="shared" si="498"/>
        <v>-1636.3619496268659</v>
      </c>
      <c r="R222" s="49">
        <f>SUM(R226:R249)</f>
        <v>-9143400</v>
      </c>
      <c r="S222" s="49">
        <f>G222-K222-O222</f>
        <v>372499.95</v>
      </c>
    </row>
    <row r="223" spans="1:19" ht="36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163500.04999999999</v>
      </c>
      <c r="I223" s="7">
        <f t="shared" ref="I223" si="503">H223*100/E223</f>
        <v>30.503740671641786</v>
      </c>
      <c r="J223" s="7">
        <v>0</v>
      </c>
      <c r="K223" s="7">
        <f>18927+12600+18927+21310+21769.05+15040+36000+18927</f>
        <v>163500.04999999999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372499.95</v>
      </c>
      <c r="Q223" s="7">
        <f t="shared" ref="Q223:Q224" si="507">P223*100/E223</f>
        <v>69.496259328358207</v>
      </c>
      <c r="R223" s="7">
        <f t="shared" ref="R223" si="508">F223-J223-N223</f>
        <v>0</v>
      </c>
      <c r="S223" s="7">
        <f t="shared" ref="S223" si="509">G223-K223-O223</f>
        <v>372499.95</v>
      </c>
    </row>
    <row r="224" spans="1:19" ht="36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11835598</v>
      </c>
      <c r="I224" s="49">
        <f>H224*100/E224</f>
        <v>2441.8399009696718</v>
      </c>
      <c r="J224" s="49">
        <f>SUM(J229:J278)</f>
        <v>11755800</v>
      </c>
      <c r="K224" s="49">
        <f>SUM(K225)</f>
        <v>79798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-11350898</v>
      </c>
      <c r="Q224" s="7">
        <f t="shared" si="507"/>
        <v>-2341.8399009696718</v>
      </c>
      <c r="R224" s="49">
        <f>F224-J224-N224</f>
        <v>-11755800</v>
      </c>
      <c r="S224" s="49">
        <f>G224-K224-O224</f>
        <v>404902</v>
      </c>
    </row>
    <row r="225" spans="1:20" ht="48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79798</v>
      </c>
      <c r="I225" s="7">
        <f t="shared" ref="I225" si="512">H225*100/E225</f>
        <v>16.463379409944295</v>
      </c>
      <c r="J225" s="7">
        <v>0</v>
      </c>
      <c r="K225" s="7">
        <f>2560+8816+17950+50472</f>
        <v>79798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404902</v>
      </c>
      <c r="Q225" s="7">
        <f t="shared" ref="Q225" si="516">P225*100/E225</f>
        <v>83.536620590055705</v>
      </c>
      <c r="R225" s="7">
        <f t="shared" ref="R225" si="517">F225-J225-N225</f>
        <v>0</v>
      </c>
      <c r="S225" s="7">
        <f t="shared" ref="S225" si="518">G225-K225-O225</f>
        <v>404902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10596680.199999999</v>
      </c>
      <c r="I226" s="52">
        <f>H226*100/E226</f>
        <v>53.740333598738225</v>
      </c>
      <c r="J226" s="50">
        <v>0</v>
      </c>
      <c r="K226" s="52">
        <f>K227+K234+K245+K250+K252+K262+K267+K271+K273</f>
        <v>10596680.199999999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9121619.8000000007</v>
      </c>
      <c r="Q226" s="51">
        <f>P226*100/E226</f>
        <v>46.259666401261775</v>
      </c>
      <c r="R226" s="50">
        <v>0</v>
      </c>
      <c r="S226" s="52">
        <f>G226-K226-O226</f>
        <v>9121619.8000000007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0</v>
      </c>
      <c r="L227" s="48"/>
      <c r="M227" s="48"/>
      <c r="N227" s="48"/>
      <c r="O227" s="49">
        <f>SUM(O228:O233)</f>
        <v>0</v>
      </c>
      <c r="P227" s="49">
        <f>R227+S227</f>
        <v>2519000</v>
      </c>
      <c r="Q227" s="49">
        <f>P227*100/E227</f>
        <v>100</v>
      </c>
      <c r="R227" s="49">
        <v>0</v>
      </c>
      <c r="S227" s="49">
        <f>G227-K227-O227</f>
        <v>2519000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0</v>
      </c>
      <c r="I228" s="7">
        <f t="shared" ref="I228" si="521">H228*100/E228</f>
        <v>0</v>
      </c>
      <c r="J228" s="7">
        <v>0</v>
      </c>
      <c r="K228" s="7">
        <v>0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491000</v>
      </c>
      <c r="Q228" s="7">
        <f t="shared" ref="Q228" si="525">P228*100/E228</f>
        <v>100</v>
      </c>
      <c r="R228" s="7">
        <f t="shared" ref="R228" si="526">F228-J228-N228</f>
        <v>0</v>
      </c>
      <c r="S228" s="7">
        <f t="shared" ref="S228" si="527">G228-K228-O228</f>
        <v>491000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0</v>
      </c>
      <c r="I229" s="7">
        <f t="shared" ref="I229:I231" si="530">H229*100/E229</f>
        <v>0</v>
      </c>
      <c r="J229" s="7">
        <v>0</v>
      </c>
      <c r="K229" s="7">
        <v>0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473000</v>
      </c>
      <c r="Q229" s="7">
        <f t="shared" ref="Q229:Q231" si="534">P229*100/E229</f>
        <v>100</v>
      </c>
      <c r="R229" s="7">
        <f t="shared" ref="R229:R231" si="535">F229-J229-N229</f>
        <v>0</v>
      </c>
      <c r="S229" s="7">
        <f t="shared" ref="S229:S231" si="536">G229-K229-O229</f>
        <v>473000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0</v>
      </c>
      <c r="I231" s="7">
        <f t="shared" si="530"/>
        <v>0</v>
      </c>
      <c r="J231" s="7">
        <v>0</v>
      </c>
      <c r="K231" s="7">
        <v>0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518000</v>
      </c>
      <c r="Q231" s="7">
        <f t="shared" si="534"/>
        <v>100</v>
      </c>
      <c r="R231" s="7">
        <f t="shared" si="535"/>
        <v>0</v>
      </c>
      <c r="S231" s="7">
        <f t="shared" si="536"/>
        <v>518000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0</v>
      </c>
      <c r="I233" s="7">
        <f t="shared" si="539"/>
        <v>0</v>
      </c>
      <c r="J233" s="7">
        <v>0</v>
      </c>
      <c r="K233" s="7">
        <v>0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547300</v>
      </c>
      <c r="Q233" s="7">
        <f t="shared" si="543"/>
        <v>100</v>
      </c>
      <c r="R233" s="7">
        <f t="shared" si="544"/>
        <v>0</v>
      </c>
      <c r="S233" s="7">
        <f t="shared" si="545"/>
        <v>547300</v>
      </c>
    </row>
    <row r="234" spans="1:20" ht="30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10346986.870000001</v>
      </c>
      <c r="I234" s="49">
        <f>H234*100/E234</f>
        <v>134.66326812952263</v>
      </c>
      <c r="J234" s="49">
        <f>SUM(J275:J286)</f>
        <v>5224800</v>
      </c>
      <c r="K234" s="49">
        <f>SUM(K235:K244)</f>
        <v>5122186.87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-2663386.87</v>
      </c>
      <c r="Q234" s="7">
        <f t="shared" si="543"/>
        <v>-34.663268129522621</v>
      </c>
      <c r="R234" s="49">
        <f>F234-J234-N234</f>
        <v>-5224800</v>
      </c>
      <c r="S234" s="49">
        <f>G234-K234-O234</f>
        <v>2561413.13</v>
      </c>
    </row>
    <row r="235" spans="1:20" ht="46.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2514968.5599999996</v>
      </c>
      <c r="I235" s="7">
        <f t="shared" ref="I235" si="548">H235*100/E235</f>
        <v>91.353743552488183</v>
      </c>
      <c r="J235" s="7">
        <v>0</v>
      </c>
      <c r="K235" s="7">
        <f>24983.44+61387+145353.3+22188+53380+61071.75+99952.32+251415+495350+245280+99900+94054.9+65143.2+97450+85495+69214.65+86050+87000+85800+97500+87500+99500</f>
        <v>2514968.5599999996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238031.44000000041</v>
      </c>
      <c r="Q235" s="7">
        <f t="shared" ref="Q235" si="552">P235*100/E235</f>
        <v>8.6462564475118207</v>
      </c>
      <c r="R235" s="7">
        <f t="shared" ref="R235" si="553">F235-J235-N235</f>
        <v>0</v>
      </c>
      <c r="S235" s="7">
        <f t="shared" ref="S235" si="554">G235-K235-O235</f>
        <v>238031.44000000041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1200373.49</v>
      </c>
      <c r="I236" s="7">
        <f t="shared" ref="I236" si="557">H236*100/E236</f>
        <v>83.013381051175656</v>
      </c>
      <c r="J236" s="7">
        <v>0</v>
      </c>
      <c r="K236" s="7">
        <f>84000+28000+77950+49122+95700.94+55335+85500+73110+82090+86710+84275+59150+43500+46962+98330.35+65143.2+85495</f>
        <v>1200373.49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245626.51</v>
      </c>
      <c r="Q236" s="7">
        <f t="shared" ref="Q236:Q245" si="561">P236*100/E236</f>
        <v>16.986618948824344</v>
      </c>
      <c r="R236" s="7">
        <f t="shared" ref="R236" si="562">F236-J236-N236</f>
        <v>0</v>
      </c>
      <c r="S236" s="7">
        <f t="shared" ref="S236" si="563">G236-K236-O236</f>
        <v>245626.51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670505.99999999988</v>
      </c>
      <c r="I237" s="7">
        <f t="shared" ref="I237" si="566">H237*100/E237</f>
        <v>80.647822949242226</v>
      </c>
      <c r="J237" s="7">
        <v>0</v>
      </c>
      <c r="K237" s="7">
        <f>11483+69394+79000+5590+41143.3+89280+57230.2+6096+3040+42210+58101.6+48546.3+18320+49590+55481.6+7900+2250+25850</f>
        <v>670505.99999999988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160894.00000000012</v>
      </c>
      <c r="Q237" s="7">
        <f t="shared" ref="Q237" si="570">P237*100/E237</f>
        <v>19.352177050757771</v>
      </c>
      <c r="R237" s="7">
        <f t="shared" ref="R237" si="571">F237-J237-N237</f>
        <v>0</v>
      </c>
      <c r="S237" s="7">
        <f t="shared" ref="S237" si="572">G237-K237-O237</f>
        <v>160894.00000000012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335015.07</v>
      </c>
      <c r="I238" s="7">
        <f t="shared" ref="I238:I240" si="575">H238*100/E238</f>
        <v>35.9265490616622</v>
      </c>
      <c r="J238" s="7">
        <v>0</v>
      </c>
      <c r="K238" s="7">
        <f>26777.25+30989.9+8131+78270+96580+7726.92+14407+6640+65493</f>
        <v>335015.07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597484.92999999993</v>
      </c>
      <c r="Q238" s="7">
        <f t="shared" ref="Q238:Q240" si="579">P238*100/E238</f>
        <v>64.0734509383378</v>
      </c>
      <c r="R238" s="7">
        <f t="shared" ref="R238:R240" si="580">F238-J238-N238</f>
        <v>0</v>
      </c>
      <c r="S238" s="7">
        <f t="shared" ref="S238:S240" si="581">G238-K238-O238</f>
        <v>597484.92999999993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169898.75000000003</v>
      </c>
      <c r="I240" s="7">
        <f t="shared" si="575"/>
        <v>50.68578460620526</v>
      </c>
      <c r="J240" s="7">
        <v>0</v>
      </c>
      <c r="K240" s="7">
        <f>43184+8800+62500+6309+4807.2+3360+4400+8800+7256.35+2646+4400+4807.2+2320+6309</f>
        <v>169898.75000000003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165301.24999999997</v>
      </c>
      <c r="Q240" s="7">
        <f t="shared" si="579"/>
        <v>49.31421539379474</v>
      </c>
      <c r="R240" s="7">
        <f t="shared" si="580"/>
        <v>0</v>
      </c>
      <c r="S240" s="7">
        <f t="shared" si="581"/>
        <v>165301.24999999997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6930720.7999999998</v>
      </c>
      <c r="I245" s="49">
        <f>H245*100/E245</f>
        <v>227.49781060233053</v>
      </c>
      <c r="J245" s="49">
        <f>SUM(J278:J286)</f>
        <v>3918600</v>
      </c>
      <c r="K245" s="49">
        <f>SUM(K246:K249)</f>
        <v>3012120.8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-3884220.8</v>
      </c>
      <c r="Q245" s="7">
        <f t="shared" si="561"/>
        <v>-127.49781060233055</v>
      </c>
      <c r="R245" s="49">
        <f>F245-J245-N245</f>
        <v>-3918600</v>
      </c>
      <c r="S245" s="49">
        <f>G245-K245-O245</f>
        <v>34379.200000000186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614344.69999999995</v>
      </c>
      <c r="I246" s="7">
        <f t="shared" ref="I246" si="602">H246*100/E246</f>
        <v>98.960164304123694</v>
      </c>
      <c r="J246" s="7">
        <v>0</v>
      </c>
      <c r="K246" s="7">
        <f>152699.8+58560+215158.9+84126+103800</f>
        <v>614344.69999999995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6455.3000000000466</v>
      </c>
      <c r="Q246" s="7">
        <f t="shared" ref="Q246" si="606">P246*100/E246</f>
        <v>1.0398356958762962</v>
      </c>
      <c r="R246" s="7">
        <f t="shared" ref="R246" si="607">F246-J246-N246</f>
        <v>0</v>
      </c>
      <c r="S246" s="7">
        <f t="shared" ref="S246" si="608">G246-K246-O246</f>
        <v>6455.3000000000466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684906.4</v>
      </c>
      <c r="I248" s="7">
        <f t="shared" si="611"/>
        <v>98.718132026520607</v>
      </c>
      <c r="J248" s="7">
        <v>0</v>
      </c>
      <c r="K248" s="7">
        <f>151416+48072+105000+19078+174152.4+72108+115080</f>
        <v>684906.4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8893.5999999999767</v>
      </c>
      <c r="Q248" s="7">
        <f t="shared" si="615"/>
        <v>1.2818679734793854</v>
      </c>
      <c r="R248" s="7">
        <f t="shared" si="616"/>
        <v>0</v>
      </c>
      <c r="S248" s="7">
        <f t="shared" si="617"/>
        <v>8893.5999999999767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9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3542827.1199999996</v>
      </c>
      <c r="I250" s="49">
        <f>H250*100/E250</f>
        <v>91.574315550041348</v>
      </c>
      <c r="J250" s="49">
        <f>SUM(J285:J295)</f>
        <v>1306200</v>
      </c>
      <c r="K250" s="49">
        <f>SUM(K251)</f>
        <v>2236627.1199999996</v>
      </c>
      <c r="L250" s="49">
        <f>N250+O250</f>
        <v>0</v>
      </c>
      <c r="M250" s="48"/>
      <c r="N250" s="49">
        <f>SUM(N285:N293)</f>
        <v>0</v>
      </c>
      <c r="O250" s="49">
        <f>SUM(O251)</f>
        <v>0</v>
      </c>
      <c r="P250" s="49">
        <f>R250+S250</f>
        <v>325972.88000000035</v>
      </c>
      <c r="Q250" s="7">
        <f t="shared" si="615"/>
        <v>8.4256844499586538</v>
      </c>
      <c r="R250" s="49">
        <f>F250-J250-N250</f>
        <v>-1306200</v>
      </c>
      <c r="S250" s="49">
        <f>G250-K250-O250</f>
        <v>1632172.8800000004</v>
      </c>
    </row>
    <row r="251" spans="1:20" ht="39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2236627.1199999996</v>
      </c>
      <c r="I251" s="7">
        <f t="shared" ref="I251" si="620">H251*100/E251</f>
        <v>57.811908602150531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</f>
        <v>2236627.1199999996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1632172.8800000004</v>
      </c>
      <c r="Q251" s="7">
        <f t="shared" ref="Q251:Q252" si="624">P251*100/E251</f>
        <v>42.188091397849469</v>
      </c>
      <c r="R251" s="7">
        <f t="shared" ref="R251" si="625">F251-J251-N251</f>
        <v>0</v>
      </c>
      <c r="S251" s="7">
        <f t="shared" ref="S251" si="626">G251-K251-O251</f>
        <v>1632172.8800000004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SUM(J293:J297)</f>
        <v>0</v>
      </c>
      <c r="K252" s="49">
        <f>SUM(K253:K261)</f>
        <v>0</v>
      </c>
      <c r="L252" s="49">
        <f>N252+O252</f>
        <v>0</v>
      </c>
      <c r="M252" s="48"/>
      <c r="N252" s="49">
        <f>SUM(N293:N295)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93417.11</v>
      </c>
      <c r="I262" s="49">
        <f>H262*100/E262</f>
        <v>7.6981549237742071</v>
      </c>
      <c r="J262" s="49">
        <f>SUM(J295:J307)</f>
        <v>0</v>
      </c>
      <c r="K262" s="49">
        <f>SUM(K263:K266)</f>
        <v>93417.11</v>
      </c>
      <c r="L262" s="49">
        <f>N262+O262</f>
        <v>0</v>
      </c>
      <c r="M262" s="48"/>
      <c r="N262" s="49">
        <f>SUM(N295:N305)</f>
        <v>0</v>
      </c>
      <c r="O262" s="49">
        <f>SUM(O263:O266)</f>
        <v>0</v>
      </c>
      <c r="P262" s="49">
        <f>R262+S262</f>
        <v>1120082.8899999999</v>
      </c>
      <c r="Q262" s="7">
        <f t="shared" si="642"/>
        <v>92.301845076225774</v>
      </c>
      <c r="R262" s="49">
        <f>F262-J262-N262</f>
        <v>0</v>
      </c>
      <c r="S262" s="49">
        <f>G262-K262-O262</f>
        <v>1120082.8899999999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0</v>
      </c>
      <c r="I263" s="7">
        <f t="shared" ref="I263" si="647">H263*100/E263</f>
        <v>0</v>
      </c>
      <c r="J263" s="7">
        <v>0</v>
      </c>
      <c r="K263" s="7">
        <v>0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260000</v>
      </c>
      <c r="Q263" s="7">
        <f t="shared" ref="Q263" si="651">P263*100/E263</f>
        <v>100</v>
      </c>
      <c r="R263" s="7">
        <f t="shared" ref="R263" si="652">F263-J263-N263</f>
        <v>0</v>
      </c>
      <c r="S263" s="7">
        <f t="shared" ref="S263" si="653">G263-K263-O263</f>
        <v>260000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13897.81</v>
      </c>
      <c r="I264" s="7">
        <f t="shared" ref="I264:I265" si="656">H264*100/E264</f>
        <v>3.0311472191930209</v>
      </c>
      <c r="J264" s="7">
        <v>0</v>
      </c>
      <c r="K264" s="7">
        <f>11562+2335.81</f>
        <v>13897.81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444602.19</v>
      </c>
      <c r="Q264" s="7">
        <f t="shared" ref="Q264:Q267" si="660">P264*100/E264</f>
        <v>96.968852780806984</v>
      </c>
      <c r="R264" s="7">
        <f t="shared" ref="R264:R265" si="661">F264-J264-N264</f>
        <v>0</v>
      </c>
      <c r="S264" s="7">
        <f t="shared" ref="S264:S265" si="662">G264-K264-O264</f>
        <v>444602.19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79519.3</v>
      </c>
      <c r="I265" s="7">
        <f t="shared" si="656"/>
        <v>44.177388888888892</v>
      </c>
      <c r="J265" s="7">
        <v>0</v>
      </c>
      <c r="K265" s="7">
        <f>12618+12618+13880.8+9764.5+7946+12618+10074</f>
        <v>79519.3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100480.7</v>
      </c>
      <c r="Q265" s="7">
        <f t="shared" si="660"/>
        <v>55.822611111111108</v>
      </c>
      <c r="R265" s="7">
        <f t="shared" si="661"/>
        <v>0</v>
      </c>
      <c r="S265" s="7">
        <f t="shared" si="662"/>
        <v>100480.7</v>
      </c>
    </row>
    <row r="266" spans="1:20" ht="33.7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0</v>
      </c>
      <c r="I266" s="7">
        <f t="shared" ref="I266" si="665">H266*100/E266</f>
        <v>0</v>
      </c>
      <c r="J266" s="7">
        <v>0</v>
      </c>
      <c r="K266" s="7">
        <v>0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315000</v>
      </c>
      <c r="Q266" s="7">
        <f t="shared" ref="Q266" si="669">P266*100/E266</f>
        <v>100</v>
      </c>
      <c r="R266" s="7">
        <f t="shared" ref="R266" si="670">F266-J266-N266</f>
        <v>0</v>
      </c>
      <c r="S266" s="7">
        <f t="shared" ref="S266" si="671">G266-K266-O266</f>
        <v>315000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112968.3</v>
      </c>
      <c r="I267" s="49">
        <f>H267*100/E267</f>
        <v>19.715235602094239</v>
      </c>
      <c r="J267" s="49">
        <f>SUM(J299:J311)</f>
        <v>0</v>
      </c>
      <c r="K267" s="49">
        <f>SUM(K269:K270)</f>
        <v>112968.3</v>
      </c>
      <c r="L267" s="49">
        <f>SUM(L268:L269)</f>
        <v>0</v>
      </c>
      <c r="M267" s="48"/>
      <c r="N267" s="49">
        <f>SUM(N299:N309)</f>
        <v>0</v>
      </c>
      <c r="O267" s="49">
        <f>SUM(O268:O270)</f>
        <v>0</v>
      </c>
      <c r="P267" s="49">
        <f>R267+S267</f>
        <v>460031.7</v>
      </c>
      <c r="Q267" s="7">
        <f t="shared" si="660"/>
        <v>80.284764397905761</v>
      </c>
      <c r="R267" s="49">
        <f>F267-J267-N267</f>
        <v>0</v>
      </c>
      <c r="S267" s="49">
        <f>G267-K267-O267</f>
        <v>460031.7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0</v>
      </c>
      <c r="I268" s="7">
        <f t="shared" ref="I268" si="674">H268*100/E268</f>
        <v>0</v>
      </c>
      <c r="J268" s="7">
        <v>0</v>
      </c>
      <c r="K268" s="7">
        <v>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254000</v>
      </c>
      <c r="Q268" s="7">
        <f t="shared" ref="Q268" si="678">P268*100/E268</f>
        <v>100</v>
      </c>
      <c r="R268" s="7">
        <f t="shared" ref="R268" si="679">F268-J268-N268</f>
        <v>0</v>
      </c>
      <c r="S268" s="7">
        <f t="shared" ref="S268" si="680">G268-K268-O268</f>
        <v>254000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SUM(J302:J314)</f>
        <v>0</v>
      </c>
      <c r="K271" s="49">
        <f>SUM(K272:K272)</f>
        <v>19360</v>
      </c>
      <c r="L271" s="49">
        <f>SUM(L272:L272)</f>
        <v>0</v>
      </c>
      <c r="M271" s="48"/>
      <c r="N271" s="49">
        <f>SUM(N302:N312)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0</v>
      </c>
      <c r="I273" s="49">
        <f>H273*100/E273</f>
        <v>0</v>
      </c>
      <c r="J273" s="49">
        <f>SUM(J304:J316)</f>
        <v>0</v>
      </c>
      <c r="K273" s="49">
        <f>SUM(K274:K274)</f>
        <v>0</v>
      </c>
      <c r="L273" s="49">
        <f>SUM(L274:L274)</f>
        <v>0</v>
      </c>
      <c r="M273" s="48"/>
      <c r="N273" s="49">
        <f>SUM(N304:N314)</f>
        <v>0</v>
      </c>
      <c r="O273" s="49">
        <f>SUM(O274:O274)</f>
        <v>0</v>
      </c>
      <c r="P273" s="49">
        <f>R273+S273</f>
        <v>555900</v>
      </c>
      <c r="Q273" s="7">
        <f t="shared" ref="Q273:Q274" si="707">P273*100/E273</f>
        <v>100</v>
      </c>
      <c r="R273" s="49">
        <f>F273-J273-N273</f>
        <v>0</v>
      </c>
      <c r="S273" s="49">
        <f>G273-K273-O273</f>
        <v>555900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0</v>
      </c>
      <c r="I274" s="7">
        <f t="shared" ref="I274" si="709">H274*100/E274</f>
        <v>0</v>
      </c>
      <c r="J274" s="7">
        <v>0</v>
      </c>
      <c r="K274" s="7">
        <v>0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555900</v>
      </c>
      <c r="Q274" s="7">
        <f t="shared" si="707"/>
        <v>100</v>
      </c>
      <c r="R274" s="7">
        <f t="shared" ref="R274" si="713">F274-J274-N274</f>
        <v>0</v>
      </c>
      <c r="S274" s="7">
        <f t="shared" ref="S274" si="714">G274-K274-O274</f>
        <v>555900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5825778.3399999999</v>
      </c>
      <c r="I275" s="52">
        <f>H275*100/E275</f>
        <v>7.1578930076667069</v>
      </c>
      <c r="J275" s="57">
        <f>J276+J279+J284</f>
        <v>1306200</v>
      </c>
      <c r="K275" s="57">
        <f>K276+K279+K282+K284+K287</f>
        <v>4519578.34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75563791.659999996</v>
      </c>
      <c r="Q275" s="56">
        <f>P275*100/E275</f>
        <v>92.842106992333299</v>
      </c>
      <c r="R275" s="57">
        <f>F275-J275-N275</f>
        <v>60539700</v>
      </c>
      <c r="S275" s="57">
        <f>G275-K275-O275</f>
        <v>15024091.66</v>
      </c>
      <c r="T275" s="26">
        <f>I275+Q275</f>
        <v>100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3331904.01</v>
      </c>
      <c r="I276" s="49">
        <f>H276*100/E276</f>
        <v>21.444963699555899</v>
      </c>
      <c r="J276" s="49">
        <f>SUM(J277:J278)</f>
        <v>0</v>
      </c>
      <c r="K276" s="49">
        <f>SUM(K277:K278)</f>
        <v>3331904.01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12205095.99</v>
      </c>
      <c r="Q276" s="49">
        <f t="shared" ref="Q276:Q277" si="716">P276*100/E276</f>
        <v>78.555036300444101</v>
      </c>
      <c r="R276" s="49">
        <f>SUM(R277:R278)</f>
        <v>0</v>
      </c>
      <c r="S276" s="49">
        <f>G276-K276-O276</f>
        <v>12205095.99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3288160.1599999997</v>
      </c>
      <c r="I277" s="7">
        <f t="shared" ref="I277" si="718">H277*100/E277</f>
        <v>21.921067733333331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</f>
        <v>3288160.1599999997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11711839.84</v>
      </c>
      <c r="Q277" s="7">
        <f t="shared" si="716"/>
        <v>78.078932266666669</v>
      </c>
      <c r="R277" s="7">
        <f t="shared" ref="R277" si="722">F277-J277-N277</f>
        <v>0</v>
      </c>
      <c r="S277" s="7">
        <f t="shared" ref="S277" si="723">G277-K277-O277</f>
        <v>11711839.84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43743.85</v>
      </c>
      <c r="I278" s="7">
        <f t="shared" ref="I278" si="726">H278*100/E278</f>
        <v>8.1459683426443199</v>
      </c>
      <c r="J278" s="7">
        <v>0</v>
      </c>
      <c r="K278" s="7">
        <f>20624+7256.35+5004.5+6309+4550</f>
        <v>43743.85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493256.15</v>
      </c>
      <c r="Q278" s="7">
        <f t="shared" ref="Q278:Q282" si="730">P278*100/E278</f>
        <v>91.854031657355677</v>
      </c>
      <c r="R278" s="7">
        <f t="shared" ref="R278" si="731">F278-J278-N278</f>
        <v>0</v>
      </c>
      <c r="S278" s="7">
        <f t="shared" ref="S278" si="732">G278-K278-O278</f>
        <v>493256.15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5.7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1306200</v>
      </c>
      <c r="I282" s="49">
        <f>H282*100/E282</f>
        <v>137.10506980161645</v>
      </c>
      <c r="J282" s="49">
        <f>SUM(J283:J284)</f>
        <v>1306200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40.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2474994.33</v>
      </c>
      <c r="I284" s="49">
        <f>H284*100/E284</f>
        <v>18.823253654381457</v>
      </c>
      <c r="J284" s="49">
        <f>SUM(J285:J286)</f>
        <v>1306200</v>
      </c>
      <c r="K284" s="49">
        <f>SUM(K285:K286)</f>
        <v>1168794.33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10673605.67</v>
      </c>
      <c r="Q284" s="49">
        <f t="shared" si="746"/>
        <v>81.17674634561854</v>
      </c>
      <c r="R284" s="49">
        <f>SUM(R285:R286)</f>
        <v>9333800</v>
      </c>
      <c r="S284" s="49">
        <f>G284-K284-O284</f>
        <v>1339805.67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1995332.5</v>
      </c>
      <c r="I285" s="7">
        <f t="shared" ref="I285" si="759">H285*100/E285</f>
        <v>16.967690227558762</v>
      </c>
      <c r="J285" s="7">
        <f>1306200</f>
        <v>1306200</v>
      </c>
      <c r="K285" s="7">
        <f>5920+3000+2320+7440+3822+99950+7200+161387.5+3860+34960+34068.6+41300+4297+3273+56781+32000+1280+30370+65307.15+42332.4+48263.85</f>
        <v>689132.5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9764267.5</v>
      </c>
      <c r="Q285" s="7">
        <f t="shared" si="746"/>
        <v>83.032309772441238</v>
      </c>
      <c r="R285" s="7">
        <f t="shared" ref="R285" si="763">F285-J285-N285</f>
        <v>9333800</v>
      </c>
      <c r="S285" s="7">
        <f t="shared" ref="S285" si="764">G285-K285-O285</f>
        <v>430467.5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479661.83</v>
      </c>
      <c r="I286" s="7">
        <f t="shared" ref="I286" si="767">H286*100/E286</f>
        <v>34.532889128869691</v>
      </c>
      <c r="J286" s="7">
        <v>0</v>
      </c>
      <c r="K286" s="7">
        <f>98855.55+3674.83+6309+99171+13440+24376+12642+121313.45+45520+12618+41742</f>
        <v>479661.83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909338.16999999993</v>
      </c>
      <c r="Q286" s="7">
        <f t="shared" ref="Q286:Q287" si="771">P286*100/E286</f>
        <v>65.467110871130316</v>
      </c>
      <c r="R286" s="7">
        <f t="shared" ref="R286" si="772">F286-J286-N286</f>
        <v>0</v>
      </c>
      <c r="S286" s="7">
        <f t="shared" ref="S286" si="773">G286-K286-O286</f>
        <v>909338.16999999993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18880</v>
      </c>
      <c r="I287" s="49">
        <f>H287*100/E287</f>
        <v>0.1008322398269189</v>
      </c>
      <c r="J287" s="49">
        <f>SUM(J288:J289)</f>
        <v>0</v>
      </c>
      <c r="K287" s="49">
        <f>SUM(K288:K289)</f>
        <v>18880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18705290</v>
      </c>
      <c r="Q287" s="49">
        <f t="shared" si="771"/>
        <v>99.899167760173086</v>
      </c>
      <c r="R287" s="49">
        <f>F287-J287-N287</f>
        <v>18178800</v>
      </c>
      <c r="S287" s="49">
        <f>G287-K287-O287</f>
        <v>526490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18880</v>
      </c>
      <c r="I288" s="7">
        <f t="shared" ref="I288" si="776">H288*100/E288</f>
        <v>0.17457235321312992</v>
      </c>
      <c r="J288" s="7">
        <v>0</v>
      </c>
      <c r="K288" s="7">
        <f>8320+1280+9280</f>
        <v>18880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10796120</v>
      </c>
      <c r="Q288" s="7">
        <f t="shared" ref="Q288" si="780">P288*100/E288</f>
        <v>99.825427646786864</v>
      </c>
      <c r="R288" s="7">
        <f t="shared" ref="R288" si="781">F288-J288-N288</f>
        <v>10500000</v>
      </c>
      <c r="S288" s="7">
        <f t="shared" ref="S288" si="782">G288-K288-O288</f>
        <v>296120</v>
      </c>
    </row>
    <row r="289" spans="1:20" ht="46.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0</v>
      </c>
      <c r="I289" s="7">
        <f t="shared" ref="I289" si="785">H289*100/E289</f>
        <v>0</v>
      </c>
      <c r="J289" s="7">
        <v>0</v>
      </c>
      <c r="K289" s="7">
        <v>0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7909170</v>
      </c>
      <c r="Q289" s="7">
        <f t="shared" ref="Q289" si="789">P289*100/E289</f>
        <v>100</v>
      </c>
      <c r="R289" s="7">
        <f t="shared" ref="R289" si="790">F289-J289-N289</f>
        <v>7678800</v>
      </c>
      <c r="S289" s="7">
        <f t="shared" ref="S289" si="791">G289-K289-O289</f>
        <v>230370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F291+F295+F300+F303</f>
        <v>0</v>
      </c>
      <c r="G290" s="56">
        <f>SUM(G291:G292)</f>
        <v>2242700</v>
      </c>
      <c r="H290" s="57">
        <f>J290+K290</f>
        <v>48079.7</v>
      </c>
      <c r="I290" s="55">
        <f>H290*100/E290</f>
        <v>2.1438310964462479</v>
      </c>
      <c r="J290" s="57">
        <f>J291</f>
        <v>0</v>
      </c>
      <c r="K290" s="57">
        <f>SUM(K291:K292)</f>
        <v>48079.7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2194620.2999999998</v>
      </c>
      <c r="Q290" s="56">
        <f>P290*100/E290</f>
        <v>97.856168903553737</v>
      </c>
      <c r="R290" s="57">
        <f>F290-J290-N290</f>
        <v>0</v>
      </c>
      <c r="S290" s="57">
        <f>G290-K290-O290</f>
        <v>2194620.2999999998</v>
      </c>
      <c r="T290" s="26">
        <f>I290+Q290</f>
        <v>99.999999999999986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4450</v>
      </c>
      <c r="I291" s="7">
        <f t="shared" ref="I291" si="794">H291*100/E291</f>
        <v>0.233878173122405</v>
      </c>
      <c r="J291" s="7">
        <v>0</v>
      </c>
      <c r="K291" s="7">
        <f>4450</f>
        <v>4450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1898250</v>
      </c>
      <c r="Q291" s="7">
        <f t="shared" ref="Q291" si="798">P291*100/E291</f>
        <v>99.766121826877594</v>
      </c>
      <c r="R291" s="7">
        <f t="shared" ref="R291" si="799">F291-J291-N291</f>
        <v>0</v>
      </c>
      <c r="S291" s="7">
        <f t="shared" ref="S291" si="800">G291-K291-O291</f>
        <v>1898250</v>
      </c>
    </row>
    <row r="292" spans="1:20" ht="44.25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" si="802">J292+K292</f>
        <v>43629.7</v>
      </c>
      <c r="I292" s="7">
        <f t="shared" ref="I292" si="803">H292*100/E292</f>
        <v>12.832264705882354</v>
      </c>
      <c r="J292" s="7">
        <v>0</v>
      </c>
      <c r="K292" s="7">
        <f>16814.7+4410+5535+16870</f>
        <v>43629.7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296370.3</v>
      </c>
      <c r="Q292" s="7">
        <f t="shared" ref="Q292" si="807">P292*100/E292</f>
        <v>87.167735294117648</v>
      </c>
      <c r="R292" s="7">
        <f t="shared" ref="R292" si="808">F292-J292-N292</f>
        <v>0</v>
      </c>
      <c r="S292" s="7">
        <f t="shared" ref="S292" si="809">G292-K292-O292</f>
        <v>296370.3</v>
      </c>
    </row>
    <row r="293" spans="1:20" ht="27.75" customHeight="1" x14ac:dyDescent="0.5">
      <c r="A293" s="20"/>
      <c r="B293" s="65"/>
      <c r="C293" s="65"/>
      <c r="D293" s="66"/>
      <c r="E293" s="20"/>
      <c r="F293" s="65"/>
      <c r="G293" s="65"/>
      <c r="H293" s="10"/>
      <c r="I293" s="20"/>
      <c r="J293" s="65"/>
      <c r="K293" s="65"/>
      <c r="L293" s="10"/>
      <c r="M293" s="20"/>
      <c r="N293" s="65"/>
      <c r="O293" s="65"/>
      <c r="P293" s="10"/>
      <c r="Q293" s="20"/>
      <c r="R293" s="65"/>
      <c r="S293" s="65"/>
    </row>
    <row r="295" spans="1:20" x14ac:dyDescent="0.5">
      <c r="Q295" s="78" t="s">
        <v>11</v>
      </c>
      <c r="R295" s="78"/>
      <c r="S295" s="78"/>
    </row>
    <row r="296" spans="1:20" x14ac:dyDescent="0.5">
      <c r="Q296" s="78" t="s">
        <v>12</v>
      </c>
      <c r="R296" s="78"/>
      <c r="S296" s="78"/>
    </row>
    <row r="297" spans="1:20" x14ac:dyDescent="0.5">
      <c r="Q297" s="78" t="s">
        <v>13</v>
      </c>
      <c r="R297" s="78"/>
      <c r="S297" s="78"/>
    </row>
    <row r="298" spans="1:20" x14ac:dyDescent="0.5">
      <c r="Q298" s="78" t="s">
        <v>14</v>
      </c>
      <c r="R298" s="78"/>
      <c r="S298" s="78"/>
    </row>
  </sheetData>
  <mergeCells count="11">
    <mergeCell ref="Q295:S295"/>
    <mergeCell ref="Q296:S296"/>
    <mergeCell ref="Q297:S297"/>
    <mergeCell ref="Q298:S298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tabSelected="1" zoomScale="115" zoomScaleNormal="115" workbookViewId="0">
      <pane ySplit="3" topLeftCell="A4" activePane="bottomLeft" state="frozen"/>
      <selection activeCell="O29" sqref="O29"/>
      <selection pane="bottomLeft" activeCell="B7" sqref="B7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7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28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[42]รายการสรุป!$E$8</f>
        <v>โครงการอ่างเก็บน้ำห้วยทราย จ.พะเยา</v>
      </c>
      <c r="C7" s="24" t="str">
        <f>[42]รายการสรุป!$I$8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[43]รายการสรุป!$J$5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[44]รายการสรุป!$E$5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[44]รายการสรุป!$I$5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[44]รายการสรุป!$J$5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[44]รายการสรุป!$E$6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[44]รายการสรุป!$I$6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[44]รายการสรุป!$J$6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[44]รายการสรุป!$E$7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[44]รายการสรุป!$I$7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[44]รายการสรุป!$J$7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[44]รายการสรุป!$E$8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[44]รายการสรุป!$I$8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[44]รายการสรุป!$J$8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[44]รายการสรุป!$E$9</f>
        <v>ซ่อมแซมสีตัวอาคารที่ทำการสำนักงานฯ สำนักงานชลประทานที่ 2</v>
      </c>
      <c r="C14" s="24" t="str">
        <f>[44]รายการสรุป!$I$9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[44]รายการสรุป!$J$9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[44]รายการสรุป!$E$10</f>
        <v>ซ่อมแซมคลังเก็บเอกสารและอุปกรณ์ สำนักงานชลประทานที่ 2</v>
      </c>
      <c r="C15" s="24" t="str">
        <f>[44]รายการสรุป!$I$10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[44]รายการสรุป!$J$10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[44]รายการสรุป!$E$11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[44]รายการสรุป!$I$11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[44]รายการสรุป!$J$11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[45]รายการสรุป!$E$5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[45]รายการสรุป!$I$5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78" t="s">
        <v>11</v>
      </c>
      <c r="R21" s="78"/>
      <c r="S21" s="78"/>
    </row>
    <row r="22" spans="1:19" x14ac:dyDescent="0.5">
      <c r="Q22" s="78" t="s">
        <v>12</v>
      </c>
      <c r="R22" s="78"/>
      <c r="S22" s="78"/>
    </row>
    <row r="23" spans="1:19" x14ac:dyDescent="0.5">
      <c r="Q23" s="78" t="s">
        <v>13</v>
      </c>
      <c r="R23" s="78"/>
      <c r="S23" s="78"/>
    </row>
    <row r="24" spans="1:19" x14ac:dyDescent="0.5">
      <c r="Q24" s="78" t="s">
        <v>14</v>
      </c>
      <c r="R24" s="78"/>
      <c r="S24" s="78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K8" sqref="K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74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75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[46]รายการสรุป!$E$5</f>
        <v>โครงการฝายทุ่งผึ้งพร้อมระบบส่งน้ำ อ.เทิง จ.เชียงราย</v>
      </c>
      <c r="C6" s="25">
        <f>[46]รายการสรุป!$I$5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[46]รายการสรุป!$J$5</f>
        <v>490000</v>
      </c>
      <c r="H6" s="7">
        <f t="shared" si="3"/>
        <v>0</v>
      </c>
      <c r="I6" s="7">
        <f t="shared" ref="I6" si="4">H6*100/E6</f>
        <v>0</v>
      </c>
      <c r="J6" s="7">
        <v>0</v>
      </c>
      <c r="K6" s="7">
        <v>0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490000</v>
      </c>
      <c r="Q6" s="7">
        <f t="shared" ref="Q6" si="8">P6*100/E6</f>
        <v>100</v>
      </c>
      <c r="R6" s="7">
        <f t="shared" si="2"/>
        <v>0</v>
      </c>
      <c r="S6" s="8">
        <f t="shared" si="2"/>
        <v>490000</v>
      </c>
    </row>
    <row r="7" spans="1:20" ht="33.75" customHeight="1" x14ac:dyDescent="0.5">
      <c r="A7" s="21">
        <v>2</v>
      </c>
      <c r="B7" s="17" t="str">
        <f>[46]รายการสรุป!$E$6</f>
        <v>โครงการอ่างเก็บน้ำห้วยก้างปลา อ.เวียงป่าเป้า จ.เชียงราย</v>
      </c>
      <c r="C7" s="25">
        <f>[46]รายการสรุป!$I$5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[46]รายการสรุป!$J$6</f>
        <v>810000</v>
      </c>
      <c r="H7" s="7">
        <f t="shared" si="3"/>
        <v>57429</v>
      </c>
      <c r="I7" s="7">
        <f t="shared" ref="I7:I8" si="9">H7*100/E7</f>
        <v>7.09</v>
      </c>
      <c r="J7" s="7">
        <v>0</v>
      </c>
      <c r="K7" s="7">
        <f>57429</f>
        <v>57429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752571</v>
      </c>
      <c r="Q7" s="7">
        <f t="shared" ref="Q7:Q8" si="13">P7*100/E7</f>
        <v>92.91</v>
      </c>
      <c r="R7" s="7">
        <f t="shared" si="2"/>
        <v>0</v>
      </c>
      <c r="S7" s="7">
        <f t="shared" si="2"/>
        <v>752571</v>
      </c>
    </row>
    <row r="8" spans="1:20" ht="51.75" customHeight="1" x14ac:dyDescent="0.5">
      <c r="A8" s="21">
        <v>3</v>
      </c>
      <c r="B8" s="17" t="str">
        <f>[46]รายการสรุป!$E$7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[46]รายการสรุป!$I$5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[46]รายการสรุป!$J$7</f>
        <v>280000</v>
      </c>
      <c r="H8" s="7">
        <f t="shared" si="3"/>
        <v>0</v>
      </c>
      <c r="I8" s="7">
        <f t="shared" si="9"/>
        <v>0</v>
      </c>
      <c r="J8" s="7">
        <v>0</v>
      </c>
      <c r="K8" s="7">
        <v>0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280000</v>
      </c>
      <c r="Q8" s="7">
        <f t="shared" si="13"/>
        <v>100</v>
      </c>
      <c r="R8" s="7">
        <f t="shared" si="2"/>
        <v>0</v>
      </c>
      <c r="S8" s="7">
        <f t="shared" si="2"/>
        <v>280000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78" t="s">
        <v>11</v>
      </c>
      <c r="R11" s="78"/>
      <c r="S11" s="78"/>
    </row>
    <row r="12" spans="1:20" x14ac:dyDescent="0.5">
      <c r="F12" s="38"/>
      <c r="G12" s="38"/>
      <c r="H12" s="38"/>
      <c r="I12" s="38"/>
      <c r="J12" s="39"/>
      <c r="K12" s="26"/>
      <c r="Q12" s="78" t="s">
        <v>12</v>
      </c>
      <c r="R12" s="78"/>
      <c r="S12" s="78"/>
    </row>
    <row r="13" spans="1:20" x14ac:dyDescent="0.5">
      <c r="Q13" s="78" t="s">
        <v>13</v>
      </c>
      <c r="R13" s="78"/>
      <c r="S13" s="78"/>
    </row>
    <row r="14" spans="1:20" x14ac:dyDescent="0.5">
      <c r="Q14" s="78" t="s">
        <v>14</v>
      </c>
      <c r="R14" s="78"/>
      <c r="S14" s="78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topLeftCell="C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9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30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19604296.699999999</v>
      </c>
      <c r="I4" s="47">
        <f>H4*100/E4</f>
        <v>76.933901185150305</v>
      </c>
      <c r="J4" s="47">
        <f>J5</f>
        <v>0</v>
      </c>
      <c r="K4" s="47">
        <f>K5</f>
        <v>19604296.699999999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5877703.3000000007</v>
      </c>
      <c r="Q4" s="47">
        <f>P4*100/E4</f>
        <v>23.066098814849703</v>
      </c>
      <c r="R4" s="47">
        <f t="shared" ref="R4:S5" si="2">F4-J4-N4</f>
        <v>0</v>
      </c>
      <c r="S4" s="47">
        <f>G4-K4-O4</f>
        <v>5877703.3000000007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19604296.699999999</v>
      </c>
      <c r="I5" s="12">
        <f>H5*100/E5</f>
        <v>76.933901185150305</v>
      </c>
      <c r="J5" s="12">
        <f>SUM(J6)</f>
        <v>0</v>
      </c>
      <c r="K5" s="12">
        <f>SUM(K6)</f>
        <v>19604296.699999999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5877703.3000000007</v>
      </c>
      <c r="Q5" s="12">
        <f>P5*100/E5</f>
        <v>23.066098814849703</v>
      </c>
      <c r="R5" s="12">
        <f t="shared" si="2"/>
        <v>0</v>
      </c>
      <c r="S5" s="12">
        <f t="shared" si="2"/>
        <v>5877703.3000000007</v>
      </c>
    </row>
    <row r="6" spans="1:20" ht="33.75" customHeight="1" x14ac:dyDescent="0.5">
      <c r="A6" s="21"/>
      <c r="B6" s="17" t="str">
        <f>[47]รายการสรุป!$E$5</f>
        <v>อ่างเก็บน้ำแม่อางพร้อมระบบส่งน้ำ อ.แม่ทะ จ.ลำปาง</v>
      </c>
      <c r="C6" s="25" t="str">
        <f>[47]รายการสรุป!$I$5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[47]รายการสรุป!$J$5</f>
        <v>25482000</v>
      </c>
      <c r="H6" s="7">
        <f t="shared" ref="H6" si="3">J6+K6</f>
        <v>19604296.699999999</v>
      </c>
      <c r="I6" s="7">
        <f t="shared" ref="I6" si="4">H6*100/E6</f>
        <v>76.933901185150305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</f>
        <v>19604296.699999999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5877703.3000000007</v>
      </c>
      <c r="Q6" s="7">
        <f t="shared" ref="Q6" si="8">P6*100/E6</f>
        <v>23.066098814849703</v>
      </c>
      <c r="R6" s="7">
        <f t="shared" ref="R6" si="9">F6-J6-N6</f>
        <v>0</v>
      </c>
      <c r="S6" s="7">
        <f t="shared" ref="S6" si="10">G6-K6-O6</f>
        <v>5877703.3000000007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78" t="s">
        <v>11</v>
      </c>
      <c r="R9" s="78"/>
      <c r="S9" s="78"/>
    </row>
    <row r="10" spans="1:20" x14ac:dyDescent="0.5">
      <c r="F10" s="38"/>
      <c r="G10" s="38"/>
      <c r="H10" s="38"/>
      <c r="I10" s="38"/>
      <c r="J10" s="39"/>
      <c r="Q10" s="78" t="s">
        <v>12</v>
      </c>
      <c r="R10" s="78"/>
      <c r="S10" s="78"/>
    </row>
    <row r="11" spans="1:20" x14ac:dyDescent="0.5">
      <c r="Q11" s="78" t="s">
        <v>13</v>
      </c>
      <c r="R11" s="78"/>
      <c r="S11" s="78"/>
    </row>
    <row r="12" spans="1:20" x14ac:dyDescent="0.5">
      <c r="Q12" s="78" t="s">
        <v>14</v>
      </c>
      <c r="R12" s="78"/>
      <c r="S12" s="78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B10" sqref="B10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x14ac:dyDescent="0.5">
      <c r="A2" s="80" t="s">
        <v>0</v>
      </c>
      <c r="B2" s="81"/>
      <c r="C2" s="58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1" ht="26.25" customHeight="1" x14ac:dyDescent="0.5">
      <c r="A3" s="82"/>
      <c r="B3" s="83"/>
      <c r="C3" s="59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[48]รายการสรุป!$E$5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[48]รายการสรุป!$I$5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[49]รายการสรุป!$J$5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[48]รายการสรุป!$E$6</f>
        <v>ฝายห้วยอ้อน้ำพร้อมระบบส่งน้ำ ต.บ้านค่า อ.เมือง จ.ลำปาง</v>
      </c>
      <c r="C9" s="24" t="str">
        <f>[48]รายการสรุป!$I$6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[49]รายการสรุป!$J$6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[48]รายการสรุป!$E$7</f>
        <v>ฝายแม่ยาวหัวแต ต.เกาะคา อ.เกาะคา จ.ลำปาง</v>
      </c>
      <c r="C10" s="25" t="str">
        <f>[48]รายการสรุป!$I$7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[49]รายการสรุป!$J$7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[49]รายการสรุป!$I$5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[49]รายการสรุป!$E$6</f>
        <v>ฝายห้วยอ้อน้ำพร้อมระบบส่งน้ำ ต.บ้านค่า อ.เมือง จ.ลำปาง</v>
      </c>
      <c r="C15" s="25" t="str">
        <f>[49]รายการสรุป!$I$6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[49]รายการสรุป!$E$7</f>
        <v>ฝายแม่ยาวหัวแต ต.เกาะคา อ.เกาะคา จ.ลำปาง</v>
      </c>
      <c r="C16" s="25" t="str">
        <f>[49]รายการสรุป!$I$7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78" t="s">
        <v>11</v>
      </c>
      <c r="R19" s="78"/>
      <c r="S19" s="78"/>
    </row>
    <row r="20" spans="1:19" x14ac:dyDescent="0.5">
      <c r="F20" s="38"/>
      <c r="G20" s="38"/>
      <c r="H20" s="38"/>
      <c r="I20" s="38"/>
      <c r="J20" s="39"/>
      <c r="K20" s="26"/>
      <c r="Q20" s="78" t="s">
        <v>12</v>
      </c>
      <c r="R20" s="78"/>
      <c r="S20" s="78"/>
    </row>
    <row r="21" spans="1:19" x14ac:dyDescent="0.5">
      <c r="Q21" s="78" t="s">
        <v>13</v>
      </c>
      <c r="R21" s="78"/>
      <c r="S21" s="78"/>
    </row>
    <row r="22" spans="1:19" x14ac:dyDescent="0.5">
      <c r="Q22" s="78" t="s">
        <v>14</v>
      </c>
      <c r="R22" s="78"/>
      <c r="S22" s="78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topLeftCell="E1" zoomScale="115" zoomScaleNormal="115" workbookViewId="0">
      <pane ySplit="3" topLeftCell="A4" activePane="bottomLeft" state="frozen"/>
      <selection activeCell="O29" sqref="O29"/>
      <selection pane="bottomLeft" activeCell="M10" sqref="M10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x14ac:dyDescent="0.5">
      <c r="A2" s="80" t="s">
        <v>0</v>
      </c>
      <c r="B2" s="81"/>
      <c r="C2" s="89" t="s">
        <v>1</v>
      </c>
      <c r="D2" s="86" t="s">
        <v>2</v>
      </c>
      <c r="E2" s="87"/>
      <c r="F2" s="88"/>
      <c r="G2" s="86" t="s">
        <v>7</v>
      </c>
      <c r="H2" s="87"/>
      <c r="I2" s="87"/>
      <c r="J2" s="88"/>
      <c r="K2" s="86" t="s">
        <v>8</v>
      </c>
      <c r="L2" s="87"/>
      <c r="M2" s="87"/>
      <c r="N2" s="88"/>
      <c r="O2" s="86" t="s">
        <v>9</v>
      </c>
      <c r="P2" s="87"/>
      <c r="Q2" s="87"/>
      <c r="R2" s="88"/>
    </row>
    <row r="3" spans="1:19" ht="26.25" customHeight="1" x14ac:dyDescent="0.5">
      <c r="A3" s="82"/>
      <c r="B3" s="83"/>
      <c r="C3" s="90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1757655.6</v>
      </c>
      <c r="H4" s="47">
        <f>G4*100/D4</f>
        <v>5.9028390356507803</v>
      </c>
      <c r="I4" s="47">
        <f>SUM(I5)</f>
        <v>0</v>
      </c>
      <c r="J4" s="47">
        <f>SUM(J5)</f>
        <v>1757655.6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28018789.079999998</v>
      </c>
      <c r="P4" s="47">
        <f>O4*100/D4</f>
        <v>94.097160964349214</v>
      </c>
      <c r="Q4" s="47">
        <f t="shared" ref="Q4:R5" si="2">E4-I4-M4</f>
        <v>0</v>
      </c>
      <c r="R4" s="47">
        <f>F4-J4-N4</f>
        <v>28018789.079999998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</f>
        <v>1757655.6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28018789.079999998</v>
      </c>
      <c r="P5" s="7">
        <f t="shared" ref="P5" si="7">O5*100/D5</f>
        <v>94.097160964349214</v>
      </c>
      <c r="Q5" s="7">
        <f t="shared" si="2"/>
        <v>0</v>
      </c>
      <c r="R5" s="7">
        <f t="shared" si="2"/>
        <v>28018789.079999998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78" t="s">
        <v>11</v>
      </c>
      <c r="Q8" s="78"/>
      <c r="R8" s="78"/>
    </row>
    <row r="9" spans="1:19" x14ac:dyDescent="0.5">
      <c r="E9" s="38"/>
      <c r="F9" s="38"/>
      <c r="G9" s="38"/>
      <c r="H9" s="38"/>
      <c r="I9" s="39"/>
      <c r="P9" s="78" t="s">
        <v>12</v>
      </c>
      <c r="Q9" s="78"/>
      <c r="R9" s="78"/>
    </row>
    <row r="10" spans="1:19" x14ac:dyDescent="0.5">
      <c r="P10" s="78" t="s">
        <v>13</v>
      </c>
      <c r="Q10" s="78"/>
      <c r="R10" s="78"/>
    </row>
    <row r="11" spans="1:19" x14ac:dyDescent="0.5">
      <c r="P11" s="78" t="s">
        <v>14</v>
      </c>
      <c r="Q11" s="78"/>
      <c r="R11" s="78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2017-05-08T02:40:09Z</dcterms:modified>
</cp:coreProperties>
</file>