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2240" windowHeight="8070" activeTab="2"/>
  </bookViews>
  <sheets>
    <sheet name="เงินกันฯ (ค่าใช้จ่ายตามแผนฯ)" sheetId="1" r:id="rId1"/>
    <sheet name="ม.600 (งบกระตุ้นเศรษฐกิจ)" sheetId="2" r:id="rId2"/>
    <sheet name="งบลงทุน (ปี 61)" sheetId="3" r:id="rId3"/>
    <sheet name="งบลงทุน (กำจัดวัชพืชโอนกลับ)" sheetId="4" r:id="rId4"/>
  </sheets>
  <definedNames/>
  <calcPr fullCalcOnLoad="1"/>
</workbook>
</file>

<file path=xl/sharedStrings.xml><?xml version="1.0" encoding="utf-8"?>
<sst xmlns="http://schemas.openxmlformats.org/spreadsheetml/2006/main" count="415" uniqueCount="205">
  <si>
    <t>ลำดับ</t>
  </si>
  <si>
    <t>รายการ</t>
  </si>
  <si>
    <t>วันที่ได้รับอนุมัติ</t>
  </si>
  <si>
    <t>ได้รับเงินจัดสรร</t>
  </si>
  <si>
    <t>วงเงินรวม</t>
  </si>
  <si>
    <t>จ้างเหมา</t>
  </si>
  <si>
    <t>ดำเนินการเอง</t>
  </si>
  <si>
    <t>เบิกจ่าย</t>
  </si>
  <si>
    <t>%</t>
  </si>
  <si>
    <t>ผูกพัน</t>
  </si>
  <si>
    <t>คงเหลือ</t>
  </si>
  <si>
    <t>รวมงบลงทุน  (พรบ.)</t>
  </si>
  <si>
    <t>เขื่อนกิ่วลม</t>
  </si>
  <si>
    <t>ค่าใช้จ่ายตามแผนปฏิบัติการเพื่อแก้ไขและพัฒนา</t>
  </si>
  <si>
    <t>สิ่งแวดล้อม</t>
  </si>
  <si>
    <t>23 ม.ค.58</t>
  </si>
  <si>
    <t>รหัสงบประมาณ   0700322018420001  (โครงการกิ่วคอหมา จ.ลำปาง)</t>
  </si>
  <si>
    <t xml:space="preserve"> 3 มี.ค.58</t>
  </si>
  <si>
    <r>
      <rPr>
        <b/>
        <u val="single"/>
        <sz val="14"/>
        <color indexed="8"/>
        <rFont val="Angsana New"/>
        <family val="1"/>
      </rPr>
      <t>ผลผลิตที่ 4</t>
    </r>
    <r>
      <rPr>
        <b/>
        <sz val="11"/>
        <color indexed="8"/>
        <rFont val="Angsana New"/>
        <family val="1"/>
      </rPr>
      <t xml:space="preserve"> การป้องกันและบรรเทาภัยจากน้ำ  แผนงาน ส่งเสริมการบริหารจัดการน้ำอย่างบูรณาการ</t>
    </r>
  </si>
  <si>
    <t>บำรุงรักษากิ่วลม-กิ่วคอหมา ต.บ้านแลง อ.เมือง จ.ลำปาง</t>
  </si>
  <si>
    <t>1 ต.ค.58</t>
  </si>
  <si>
    <t>รายการสำรองจ่ายกรณีฉุกเฉินหรือจำเป็น ปีงบประมาณ 2558 (งบกลาง)</t>
  </si>
  <si>
    <t>ซ่อมแซมหินเรียงลาดตลิ่งด้านท้ายเขื่อนกิ่วลมฝั่งซ้าย</t>
  </si>
  <si>
    <t>ซ่อมแซมขุดปรับแต่งชานคลองสายใหญ่ฝั่งขวากิ่วลม</t>
  </si>
  <si>
    <t>กม.3+000-กม.20+000</t>
  </si>
  <si>
    <t>ซ่อมแซมอุปกรณ์ตรวจวัดและระบบสื่อสารภายใน</t>
  </si>
  <si>
    <t>ซ่อมแซมพื้นที่อาคาร River Outlet เขื่อนกิ่วคอหมา</t>
  </si>
  <si>
    <t>ซ่อมแซมถนนภายในบริเวณหัวงานเขื่อนกิ่วคอหมา</t>
  </si>
  <si>
    <t>รหัสงบประมาณ  90909730140101SR (เอกสารสำรองเงิน 10158824)</t>
  </si>
  <si>
    <t>รหัสงบประมาณ  90909730140101SQ (เอกสารสำรองเงิน 10158792)</t>
  </si>
  <si>
    <t>รหัสงบประมาณ  90909730140101SP (เอกสารสำรองเงิน 10158700)</t>
  </si>
  <si>
    <t>รหัสงบประมาณ  90909730140101SN (เอกสารสำรองเงิน 10158680)</t>
  </si>
  <si>
    <t>รหัสงบประมาณ  90909730140103Nจ (เอกสารสำรองเงิน 10158768)</t>
  </si>
  <si>
    <t>ซ่อมแซมท่อส่งน้ำเข้านา กม.67+725 RMC.กิ่วลม ระยะที่ 3</t>
  </si>
  <si>
    <t>ซ่อมแซมสระเก็บน้ำพร้อมอาคารประกอบบริเวณหัวงานเขื่อนกิ่วลม</t>
  </si>
  <si>
    <t>ซ่อมแซมอาคารบ้านพักรับรองบริเวณหัวงานเขื่อนกิ่วลม</t>
  </si>
  <si>
    <t>ขุดลอกตะกอนด้วยแรงคน คลองซอย 16.6L-RMC.กิ่วลม</t>
  </si>
  <si>
    <t>รวมงบกลาง (งานซ่อมแซมฯ)</t>
  </si>
  <si>
    <t>1.10</t>
  </si>
  <si>
    <t>1.11</t>
  </si>
  <si>
    <t>1.12</t>
  </si>
  <si>
    <t>ขุดลอกตะกอนด้วยแรงคน คลองแยกซอย 23.0L-2.1R-0.5L-</t>
  </si>
  <si>
    <t>ขุดลอกตะกอนด้วยแรงคน คลองส่งน้ำสายใหญ่กิ่วลมฝั่งขวา กม.52+</t>
  </si>
  <si>
    <t>1.13</t>
  </si>
  <si>
    <t>ขุดลอกตะกอนด้วยแรงคน คลองแยกซอย 1R-RMC.กิ่วลม</t>
  </si>
  <si>
    <t>รวมงบกลาง (งานขุดลอกฯ)</t>
  </si>
  <si>
    <t>รวมงบกลาง  (กรณีฉุกเฉินหรือจำเป็น)</t>
  </si>
  <si>
    <t>โครงการส่งน้ำและบำรุงรักษากิ่วลม-กิ่วคอหมา ต.บุญนาค</t>
  </si>
  <si>
    <t>พัฒนา อ.เมืองลำปาง จ.ลำปาง</t>
  </si>
  <si>
    <t>อ.เมืองลำปาง จ.ลำปาง</t>
  </si>
  <si>
    <t>ซ่อมแซมเครื่องกว้านและบานระบายคลองซอยและคลอง</t>
  </si>
  <si>
    <t>ซ่อมแซมบำรุงรักษาเครื่องกำเนิดไฟฟ้าพลังน้ำเขื่อนกิ่วลม</t>
  </si>
  <si>
    <t>และบานระบายเขื่อนกิ่วคอหมา โครงการส่งน้ำและบำรุง</t>
  </si>
  <si>
    <t>1.14</t>
  </si>
  <si>
    <t>จ.ลำปาง</t>
  </si>
  <si>
    <t>รวมงบลงทุน (งานซ่อมแซมฯ)</t>
  </si>
  <si>
    <t>ต.ไหล่หิน อ.เกาะคา จ.ลำปาง 1 รายการ</t>
  </si>
  <si>
    <t>ต.บ้านแลง อ.เมือง จ.ลำปาง 1 รายการ</t>
  </si>
  <si>
    <t>ซ่อมแซมเสาธง สูง 12 เมตร โครงการส่งน้ำและบำรุงรักษากิ่วลม-</t>
  </si>
  <si>
    <t>กิ่วคอหมา ต.บ้านแลง อ.เมือง จ.ลำปาง 1 รายการ</t>
  </si>
  <si>
    <t>000 - กม.70+000 ต.ปงยางคก,ไหล่หิน อ.ห้างฉัตร,เกาะคา</t>
  </si>
  <si>
    <t>จ.ลำปาง 1 รายการ</t>
  </si>
  <si>
    <t>ต.นิคมพัฒนา อ.เมือง จ.ลำปาง 1 รายการ</t>
  </si>
  <si>
    <t>RMC.กิ่วลม ต.นิคมพัฒนา,ทุ่งฝาย อ.เมือง จ.ลำปาง 1 รายการ</t>
  </si>
  <si>
    <t>6 ต.ค.58</t>
  </si>
  <si>
    <t>ต.นิคมพัฒนา อ.เมืองลำปาง จ.ลำปาง</t>
  </si>
  <si>
    <t>โครงการส่งน้ำและบำรุงรักษากิ่วลม-กิ่วคอหมา ต.บ้านแลง</t>
  </si>
  <si>
    <t>รวมงบลงทุน (งานปรับปรุงฯ)</t>
  </si>
  <si>
    <t xml:space="preserve">รหัสงบประมาณ  9090973014010VคS (เอกสารสำรองเงิน 20055307) </t>
  </si>
  <si>
    <t>รหัสงบประมาณ  9090973014010VคR (เอกสารสำรองเงิน 20055306)</t>
  </si>
  <si>
    <t>รหัสงบประมาณ  9090973014010VคT (เอกสารสำรองเงิน 20055308)</t>
  </si>
  <si>
    <t>รหัสงบประมาณ  9090973014010VคU (เอกสารสำรองเงิน 20055309)</t>
  </si>
  <si>
    <t>รหัสงบประมาณ  9090973014010VคV (เอกสารสำรองเงิน 20055310)</t>
  </si>
  <si>
    <t>รหัสงบประมาณ  9090973014010VคW (เอกสารสำรองเงิน 20055311)</t>
  </si>
  <si>
    <t>รหัสงบประมาณ  9090973014010VคX (เอกสารสำรองเงิน 20055312)</t>
  </si>
  <si>
    <t>รหัสงบประมาณ  9090973014010VคY (เอกสารสำรองเงิน 20055313)</t>
  </si>
  <si>
    <t>รายงานผลการเบิกจ่าย  โครงการส่งน้ำและบำรุงรักษากิ่วลม-กิ่วคอหมา  ณ วันที่  25  ธ.ค.  2558</t>
  </si>
  <si>
    <r>
      <rPr>
        <b/>
        <u val="single"/>
        <sz val="14"/>
        <rFont val="Angsana New"/>
        <family val="1"/>
      </rPr>
      <t>หมายเหตุ</t>
    </r>
    <r>
      <rPr>
        <b/>
        <sz val="12"/>
        <rFont val="Angsana New"/>
        <family val="1"/>
      </rPr>
      <t xml:space="preserve"> :  โอนเงินกลับส่วนกลาง ตามหนังสือที่ สชป.2.10/1612/2558  ลว. 16 ธ.ค.58  งบกลาง รายการเงินสำรองจ่ายเพื่อกรณีฉุกเฉินหรือจำเป็น  จำนวนเงิน  42,899.26 บาท </t>
    </r>
  </si>
  <si>
    <t>รายงานผลการเบิกจ่าย  โครงการส่งน้ำและบำรุงรักษากิ่วลม-กิ่วคอหมา  ณ วันที่  22  ม.ค.  2559</t>
  </si>
  <si>
    <t>รวมงบลงทุน (งานกำจัดวัชพืช)</t>
  </si>
  <si>
    <t>อ.แจ้ห่ม จ.ลำปาง</t>
  </si>
  <si>
    <t>กำจัดวัชพืชภายในอ่างเก็บน้ำเขื่อนกิ่วลม โครงการส่งน้ำ</t>
  </si>
  <si>
    <t>กำจัดวัชพืชคลองระบายห้วยผาตัน โครงการส่งน้ำและ</t>
  </si>
  <si>
    <t>กำจัดวัชพืชคลองระบายห้วยหลวง โครงการส่งน้ำและ</t>
  </si>
  <si>
    <t>กำจัดวัชพืชคลองระบายห้วยแม่ตุ๋ย โครงการส่งน้ำและ</t>
  </si>
  <si>
    <t>บำรุงรักษากิ่วลม-กิ่วคอหมา ต.บ้านเป้า อ.เมืองลำปาง จ.ลำปาง</t>
  </si>
  <si>
    <t>กิ่วคอหมา จ.ลำปาง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</si>
  <si>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 แผนงาน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</si>
  <si>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บำรุงรักษากิ่วลม-กิ่วคอหมา ต.บุญนาคพัฒนา อ.เมือง จ.ลำปาง</t>
  </si>
  <si>
    <t>รหัสงบประมาณ   0700349001410514</t>
  </si>
  <si>
    <t>บริหารการส่งน้ำ โครงการส่งน้ำและบำรุงรักษากิ่วลม-</t>
  </si>
  <si>
    <t>10 ต.ค.60</t>
  </si>
  <si>
    <t>1.1</t>
  </si>
  <si>
    <t>รหัสงบประมาณ   0700349001410A53 (กำจัดวัชพืช)</t>
  </si>
  <si>
    <t>รหัสงบประมาณ   0700349001410A56 (กำจัดวัชพืช)</t>
  </si>
  <si>
    <t>และบำรุงรักษากิ่วลม-กิ่วคอหมา ต.บ้านแลง อ.เมือง จ.ลำปาง</t>
  </si>
  <si>
    <t>รหัสงบประมาณ   0700349001410A55 (กำจัดวัชพืช)</t>
  </si>
  <si>
    <t>รหัสงบประมาณ   0700349001410A59 (กำจัดวัชพืช)</t>
  </si>
  <si>
    <t>ปรับปรุงทุ่นลอยและตะแกรงกันสวะเขื่อนกิ่วคอหมา</t>
  </si>
  <si>
    <t>ต.ปงดอน อ.แจ้ห่ม จ.ลำปาง</t>
  </si>
  <si>
    <t>12 ต.ค.60</t>
  </si>
  <si>
    <t>ซ่อมแซมบำรุงรักษาระบบชลประทาน โครงการส่งน้ำและ</t>
  </si>
  <si>
    <t>ซ่อมแซมคลองแยกซอย 22+410L-RMC คลองแยกซอย</t>
  </si>
  <si>
    <t>0.7R-35.7L-RMC และอาคารประกอบ จำนวน 2 แห่ง</t>
  </si>
  <si>
    <t>รักษากิ่วลม-กิ่วคอหมา ต.บ้านแลง อ.เมือง จ.ลำปาง</t>
  </si>
  <si>
    <t>รหัสงบประมาณ   0700345052410321</t>
  </si>
  <si>
    <t>รหัสงบประมาณ   0700345052410260</t>
  </si>
  <si>
    <t>รหัสงบประมาณ   0700345052410263</t>
  </si>
  <si>
    <t>รหัสงบประมาณ   0700345052410K14</t>
  </si>
  <si>
    <t>สายใหญ่ RMC.กิ่วลม โครงการส่งน้ำและบำรุงรักษากิ่วลม-</t>
  </si>
  <si>
    <t>กิ่วคอหมา ต.บ้านแลง อ.เมือง จ.ลำปาง</t>
  </si>
  <si>
    <t>รหัสงบประมาณ   0700345052410D18</t>
  </si>
  <si>
    <t>ซ่อมแซมคลอง RMC.กิ่วลม กม.11+140-กม.11+200</t>
  </si>
  <si>
    <t>พัฒนา อ.เมือง จ.ลำปาง</t>
  </si>
  <si>
    <t>รหัสงบประมาณ   0700345052410268</t>
  </si>
  <si>
    <t>ซ่อมแซมคลองส่งน้ำสายใหญ่ฝั่งขวา RMC.กิ่วคอหมา ช่วง</t>
  </si>
  <si>
    <t>กม.3+000-กม.9+000 โครงการส่งน้ำและบำรุงรักษา</t>
  </si>
  <si>
    <t>กิ่วลม-กิ่วคอหมา ต.ปงดอน อ.แจ้ห่ม จ.ลำปาง</t>
  </si>
  <si>
    <t>รหัสงบประมาณ   0700345052410K16</t>
  </si>
  <si>
    <t>ซ่อมแซมคลองส่งน้ำ 1R-RMC.กิ่วคอหมา (คลองแม่แมะ)</t>
  </si>
  <si>
    <t>โครงการส่งน้ำและบำรุงรักษากิ่วลม-กิ่วคอหมา ต.ปงดอน</t>
  </si>
  <si>
    <t>รหัสงบประมาณ   0700345052410414</t>
  </si>
  <si>
    <t>กม.13+000-กม.22+000 (คลองแม่มอน) โครงการส่งน้ำ</t>
  </si>
  <si>
    <t>และบำรุงรักษากิ่วลม-กิ่วคอหมา ต.วิเขตนคร อ.แจ้ห่ม จ.ลำปาง</t>
  </si>
  <si>
    <t>รายงานผลการเบิกจ่าย  โครงการส่งน้ำและบำรุงรักษากิ่วลม-กิ่วคอหมา  ณ วันที่   25   ต.ค. 2560</t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</si>
  <si>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งบลงทุน ที่ดินและสิ่งก่อสร้าง</t>
    </r>
  </si>
  <si>
    <t xml:space="preserve">ปรับปรุงอาคารทิ้งน้ำในคลอง RMC.กิ่วลม 3 แห่ง </t>
  </si>
  <si>
    <t>ต.บ้านเป้า อ.เมืองลำปาง จ.ลำปาง</t>
  </si>
  <si>
    <t>18 ต.ค.60</t>
  </si>
  <si>
    <t>ปรับปรุงอาคารบังคับน้ำกลางคลอง RMC.กิ่วลม จำนวน</t>
  </si>
  <si>
    <t>2 แห่ง ท้าย กม.4, กม.20 ต.บุญนาคพัฒนา อ.เมืองลำปาง</t>
  </si>
  <si>
    <t>รหัสงบประมาณ   0700345052420164</t>
  </si>
  <si>
    <t>รหัสงบประมาณ   0700345052410132</t>
  </si>
  <si>
    <t>รหัสงบประมาณ   0700345052420116</t>
  </si>
  <si>
    <t>รหัสงบประมาณ   0700345054420002</t>
  </si>
  <si>
    <t>ปรับปรุงแม่น้ำวังท้ายเขื่อนกิ่วลม เพื่อเพิ่มศักยภาพการ</t>
  </si>
  <si>
    <t>ระบายน้ำ (ระยะที่ 1) ต.บ้านแลง อ.เมืองลำปาง จ.ลำปาง</t>
  </si>
  <si>
    <t>โครงการป้องกันและบรรเทาภัยจากน้ำ</t>
  </si>
  <si>
    <t>2.1</t>
  </si>
  <si>
    <t>2.2</t>
  </si>
  <si>
    <t>2.3</t>
  </si>
  <si>
    <t>2.4</t>
  </si>
  <si>
    <t>3.1</t>
  </si>
  <si>
    <t>3.2</t>
  </si>
  <si>
    <t>3.3</t>
  </si>
  <si>
    <t>3.5</t>
  </si>
  <si>
    <t>3.6</t>
  </si>
  <si>
    <t>3.7</t>
  </si>
  <si>
    <t>3.8</t>
  </si>
  <si>
    <t>1.3</t>
  </si>
  <si>
    <t>1.4</t>
  </si>
  <si>
    <t>1.7</t>
  </si>
  <si>
    <t>1.8</t>
  </si>
  <si>
    <t>1.9</t>
  </si>
  <si>
    <t>ปรับปรุงสะพานคอนกรีตเสริมเหล็กข้ามคลองส่งน้ำสาย</t>
  </si>
  <si>
    <t>ใหญ่กิ่วลมฝั่งขวา กม.22+425 โครงการส่งน้ำและบำรุง</t>
  </si>
  <si>
    <t>รักษากิ่วลม-กิ่วคอหมา ต.นิคมพัฒนา อ.เมือง จ.ลำปาง</t>
  </si>
  <si>
    <t>17 ต.ค.60</t>
  </si>
  <si>
    <t>บำรุงรักษาหัวงานและคลองส่งน้ำ โครงการส่งน้ำและบำรุง</t>
  </si>
  <si>
    <t>รักษากิ่วลม-กิ่วคอหมา อ.เมืองลำปาง อ.แจ้ห่ม อ.ห้างฉัตร</t>
  </si>
  <si>
    <t>และอำเภอเกาะคา จ.ลำปาง</t>
  </si>
  <si>
    <t>1.5</t>
  </si>
  <si>
    <t>รหัสงบประมาณ   0700345052410259</t>
  </si>
  <si>
    <t>ต.ต้นธงชัย อ.เมือง จ.ลำปาง</t>
  </si>
  <si>
    <t>ซ่อมแซมคอนกรีตดาดคลอง RMC.กิ่วลม กม.25+000-กม.</t>
  </si>
  <si>
    <t>25+300 โครงการส่งน้ำและบำรุงรักษากิ่วลม-กิ่วคอหมา</t>
  </si>
  <si>
    <r>
      <rPr>
        <b/>
        <u val="single"/>
        <sz val="11"/>
        <color indexed="8"/>
        <rFont val="TH SarabunPSK"/>
        <family val="2"/>
      </rPr>
      <t>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</si>
  <si>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รหัสงบประมาณ   0700349001410197</t>
  </si>
  <si>
    <t>รหัสงบประมาณ   0700345052410262</t>
  </si>
  <si>
    <t>ซ่อมแซมคลองซอย 23.8L,32.5L,38.2L,38.6L และอาคาร</t>
  </si>
  <si>
    <t>ประกอบ จำนวน 4 แห่ง โครงการส่งน้ำและบำรุงรักษา</t>
  </si>
  <si>
    <t>กิ่วลม-กิ่วคอหมา ต.บ้านเป้า อ.เมือง จ.ลำปาง</t>
  </si>
  <si>
    <t>รหัสงบประมาณ   0700345052410265</t>
  </si>
  <si>
    <t>ซ่อมแซมรางระบายบริเวณพื้นที่หัวงานด้านท้ายเขื่อนกิ่วลม</t>
  </si>
  <si>
    <t>รหัสงบประมาณ   0700345052410266</t>
  </si>
  <si>
    <t>ซ่อมแซมคอนกรีตดาดคลองแยกซอย RMC.กิ่วลม และ</t>
  </si>
  <si>
    <t>อาคารประกอบ จำนวน 2 แห่ง โครงการส่งน้ำและบำรุง</t>
  </si>
  <si>
    <t>รักษากิ่วลม-กิ่วคอหมา ต.บุญนาคพัฒนา อ.เมือง จ.ลำปาง</t>
  </si>
  <si>
    <t>รหัสงบประมาณ   0700345052410AV5</t>
  </si>
  <si>
    <t>ขุดลอกคลองโดยเรือขุดดำเนินการเอง แม่น้ำวังท้ายเขื่อน</t>
  </si>
  <si>
    <t>กิ่วคอหมาถึงอ่างเก็บน้ำเขื่อนกิ่วลม โครงการส่งน้ำและบำรุง</t>
  </si>
  <si>
    <t>รักษากิ่วลม-กิ่วคอหมา อ.แจ้ห่ม จ.ลำปาง</t>
  </si>
  <si>
    <t>รวมงบลงทุน (งานขุดลอกฯ)</t>
  </si>
  <si>
    <t>รหัสงบประมาณ   0700345052410002</t>
  </si>
  <si>
    <t>ปรับปรุงอาคารระบายน้ำข้างคลองส่งน้ำสายใหญ่ฝั่งขวา</t>
  </si>
  <si>
    <t>และคลองส่งน้ำสายใหญ่ฝั่งซ้ายกิ่วคอหมา จำนวน 4 แห่ง</t>
  </si>
  <si>
    <t>รหัสงบประมาณ   0700345052410031</t>
  </si>
  <si>
    <t>รหัสงบประมาณ   0700345052410073</t>
  </si>
  <si>
    <t>ปรับปรุงคลองซอย 23.0L-RMC.กิ่วลม ต.นิคมพัฒนา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</si>
  <si>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</t>
    </r>
    <r>
      <rPr>
        <b/>
        <u val="single"/>
        <sz val="11"/>
        <color indexed="8"/>
        <rFont val="TH SarabunPSK"/>
        <family val="2"/>
      </rPr>
      <t xml:space="preserve"> 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</si>
  <si>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ปรับปรุงอาคารทิ้งน้ำห้วยทราย (ห้วยแม่ทรายคำ) ต.นิคม-</t>
  </si>
  <si>
    <t>รหัสงบประมาณ   0700345052420028</t>
  </si>
  <si>
    <t>ปรับปรุงฝายห้วยแม่ไพรลูกที่ 4 พร้อมอาคารประกอบ</t>
  </si>
  <si>
    <t>ต.หนองหล่ม อ.ห้างฉัตร จ.ลำปาง</t>
  </si>
  <si>
    <t>30 ต.ค.60</t>
  </si>
  <si>
    <t>รหัสงบประมาณ   0700345052420143</t>
  </si>
  <si>
    <t>ปรับปรุงฝายห้วยแม่ไพรลูกที่ 2 พร้อมระบบส่งน้ำ</t>
  </si>
  <si>
    <t>2.10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</si>
  <si>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</t>
    </r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</si>
  <si>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</si>
  <si>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รวมงบลงทุน ที่ดินและสิ่งก่อสร้าง (พรบ.)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</si>
  <si>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</si>
  <si>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รหัสงบประมาณ   0700349001410515</t>
  </si>
  <si>
    <t>14 พ.ย.60</t>
  </si>
  <si>
    <t>รายงานผลการเบิกจ่าย  โครงการส่งน้ำและบำรุงรักษากิ่วลม-กิ่วคอหมา  ณ วันที่   31 ธ.ค. 2560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</si>
</sst>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&lt;=99999999][$-D000000]0\-####\-####;[$-D000000]#\-####\-####"/>
    <numFmt numFmtId="204" formatCode="#,##0.00_ ;\-#,##0.00\ "/>
    <numFmt numFmtId="205" formatCode="0.0"/>
    <numFmt numFmtId="206" formatCode="_-* #,##0.000_-;\-* #,##0.000_-;_-* &quot;-&quot;??_-;_-@_-"/>
    <numFmt numFmtId="207" formatCode="_-* #,##0.0_-;\-* #,##0.0_-;_-* &quot;-&quot;??_-;_-@_-"/>
  </numFmts>
  <fonts count="65">
    <font>
      <sz val="10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sz val="11"/>
      <name val="Angsana New"/>
      <family val="1"/>
    </font>
    <font>
      <sz val="9"/>
      <name val="Angsana New"/>
      <family val="1"/>
    </font>
    <font>
      <b/>
      <sz val="11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color indexed="60"/>
      <name val="Angsana New"/>
      <family val="1"/>
    </font>
    <font>
      <b/>
      <sz val="11"/>
      <color indexed="8"/>
      <name val="Angsana New"/>
      <family val="1"/>
    </font>
    <font>
      <b/>
      <u val="single"/>
      <sz val="14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b/>
      <u val="single"/>
      <sz val="14"/>
      <color indexed="8"/>
      <name val="Angsana New"/>
      <family val="1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b/>
      <u val="single"/>
      <sz val="14"/>
      <name val="TH SarabunPSK"/>
      <family val="2"/>
    </font>
    <font>
      <b/>
      <sz val="10"/>
      <name val="TH SarabunPSK"/>
      <family val="2"/>
    </font>
    <font>
      <b/>
      <u val="single"/>
      <sz val="11"/>
      <color indexed="60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sz val="11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9"/>
      <name val="TH SarabunPSK"/>
      <family val="2"/>
    </font>
    <font>
      <b/>
      <u val="single"/>
      <sz val="12"/>
      <color indexed="8"/>
      <name val="TH SarabunPSK"/>
      <family val="2"/>
    </font>
    <font>
      <b/>
      <u val="single"/>
      <sz val="11"/>
      <color indexed="8"/>
      <name val="TH SarabunPSK"/>
      <family val="2"/>
    </font>
    <font>
      <sz val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C0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51" fillId="20" borderId="0" applyNumberFormat="0" applyBorder="0" applyAlignment="0" applyProtection="0"/>
    <xf numFmtId="0" fontId="52" fillId="21" borderId="3" applyNumberFormat="0" applyAlignment="0" applyProtection="0"/>
    <xf numFmtId="0" fontId="53" fillId="21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23" borderId="4" applyNumberFormat="0" applyAlignment="0" applyProtection="0"/>
    <xf numFmtId="0" fontId="59" fillId="24" borderId="0" applyNumberFormat="0" applyBorder="0" applyAlignment="0" applyProtection="0"/>
    <xf numFmtId="0" fontId="60" fillId="0" borderId="5" applyNumberFormat="0" applyFill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194" fontId="3" fillId="32" borderId="11" xfId="33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right"/>
    </xf>
    <xf numFmtId="204" fontId="5" fillId="32" borderId="10" xfId="0" applyNumberFormat="1" applyFont="1" applyFill="1" applyBorder="1" applyAlignment="1">
      <alignment/>
    </xf>
    <xf numFmtId="194" fontId="5" fillId="32" borderId="10" xfId="0" applyNumberFormat="1" applyFont="1" applyFill="1" applyBorder="1" applyAlignment="1">
      <alignment/>
    </xf>
    <xf numFmtId="194" fontId="5" fillId="32" borderId="10" xfId="33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3" fillId="18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10" fillId="18" borderId="11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right"/>
    </xf>
    <xf numFmtId="194" fontId="12" fillId="18" borderId="11" xfId="0" applyNumberFormat="1" applyFont="1" applyFill="1" applyBorder="1" applyAlignment="1">
      <alignment/>
    </xf>
    <xf numFmtId="204" fontId="12" fillId="18" borderId="11" xfId="0" applyNumberFormat="1" applyFont="1" applyFill="1" applyBorder="1" applyAlignment="1">
      <alignment/>
    </xf>
    <xf numFmtId="194" fontId="12" fillId="18" borderId="11" xfId="33" applyFont="1" applyFill="1" applyBorder="1" applyAlignment="1">
      <alignment/>
    </xf>
    <xf numFmtId="0" fontId="3" fillId="32" borderId="14" xfId="0" applyFont="1" applyFill="1" applyBorder="1" applyAlignment="1">
      <alignment horizontal="center"/>
    </xf>
    <xf numFmtId="0" fontId="5" fillId="32" borderId="14" xfId="0" applyFont="1" applyFill="1" applyBorder="1" applyAlignment="1">
      <alignment/>
    </xf>
    <xf numFmtId="204" fontId="5" fillId="32" borderId="14" xfId="0" applyNumberFormat="1" applyFont="1" applyFill="1" applyBorder="1" applyAlignment="1">
      <alignment horizontal="right"/>
    </xf>
    <xf numFmtId="204" fontId="5" fillId="32" borderId="14" xfId="0" applyNumberFormat="1" applyFont="1" applyFill="1" applyBorder="1" applyAlignment="1">
      <alignment/>
    </xf>
    <xf numFmtId="194" fontId="5" fillId="32" borderId="14" xfId="0" applyNumberFormat="1" applyFont="1" applyFill="1" applyBorder="1" applyAlignment="1">
      <alignment/>
    </xf>
    <xf numFmtId="194" fontId="9" fillId="32" borderId="14" xfId="33" applyFont="1" applyFill="1" applyBorder="1" applyAlignment="1">
      <alignment/>
    </xf>
    <xf numFmtId="194" fontId="5" fillId="32" borderId="14" xfId="33" applyFont="1" applyFill="1" applyBorder="1" applyAlignment="1">
      <alignment/>
    </xf>
    <xf numFmtId="204" fontId="5" fillId="32" borderId="13" xfId="0" applyNumberFormat="1" applyFont="1" applyFill="1" applyBorder="1" applyAlignment="1">
      <alignment horizontal="right"/>
    </xf>
    <xf numFmtId="204" fontId="5" fillId="32" borderId="13" xfId="0" applyNumberFormat="1" applyFont="1" applyFill="1" applyBorder="1" applyAlignment="1">
      <alignment/>
    </xf>
    <xf numFmtId="194" fontId="5" fillId="32" borderId="13" xfId="0" applyNumberFormat="1" applyFont="1" applyFill="1" applyBorder="1" applyAlignment="1">
      <alignment/>
    </xf>
    <xf numFmtId="194" fontId="5" fillId="32" borderId="13" xfId="33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204" fontId="5" fillId="33" borderId="10" xfId="33" applyNumberFormat="1" applyFont="1" applyFill="1" applyBorder="1" applyAlignment="1">
      <alignment horizontal="right"/>
    </xf>
    <xf numFmtId="204" fontId="5" fillId="33" borderId="10" xfId="33" applyNumberFormat="1" applyFont="1" applyFill="1" applyBorder="1" applyAlignment="1">
      <alignment horizontal="center"/>
    </xf>
    <xf numFmtId="194" fontId="5" fillId="33" borderId="10" xfId="33" applyFont="1" applyFill="1" applyBorder="1" applyAlignment="1">
      <alignment/>
    </xf>
    <xf numFmtId="0" fontId="3" fillId="33" borderId="11" xfId="0" applyFont="1" applyFill="1" applyBorder="1" applyAlignment="1">
      <alignment/>
    </xf>
    <xf numFmtId="204" fontId="5" fillId="33" borderId="11" xfId="0" applyNumberFormat="1" applyFont="1" applyFill="1" applyBorder="1" applyAlignment="1">
      <alignment horizontal="right"/>
    </xf>
    <xf numFmtId="204" fontId="5" fillId="33" borderId="11" xfId="0" applyNumberFormat="1" applyFont="1" applyFill="1" applyBorder="1" applyAlignment="1">
      <alignment/>
    </xf>
    <xf numFmtId="194" fontId="5" fillId="33" borderId="11" xfId="0" applyNumberFormat="1" applyFont="1" applyFill="1" applyBorder="1" applyAlignment="1">
      <alignment/>
    </xf>
    <xf numFmtId="194" fontId="5" fillId="33" borderId="11" xfId="33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32" borderId="14" xfId="0" applyFont="1" applyFill="1" applyBorder="1" applyAlignment="1">
      <alignment/>
    </xf>
    <xf numFmtId="0" fontId="64" fillId="0" borderId="0" xfId="0" applyFont="1" applyAlignment="1">
      <alignment horizontal="left"/>
    </xf>
    <xf numFmtId="194" fontId="12" fillId="33" borderId="10" xfId="33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/>
    </xf>
    <xf numFmtId="0" fontId="13" fillId="32" borderId="14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204" fontId="5" fillId="34" borderId="10" xfId="33" applyNumberFormat="1" applyFont="1" applyFill="1" applyBorder="1" applyAlignment="1">
      <alignment horizontal="right"/>
    </xf>
    <xf numFmtId="204" fontId="5" fillId="34" borderId="10" xfId="33" applyNumberFormat="1" applyFont="1" applyFill="1" applyBorder="1" applyAlignment="1">
      <alignment horizontal="center"/>
    </xf>
    <xf numFmtId="194" fontId="5" fillId="34" borderId="10" xfId="33" applyFont="1" applyFill="1" applyBorder="1" applyAlignment="1">
      <alignment/>
    </xf>
    <xf numFmtId="49" fontId="3" fillId="32" borderId="11" xfId="0" applyNumberFormat="1" applyFont="1" applyFill="1" applyBorder="1" applyAlignment="1">
      <alignment horizontal="center"/>
    </xf>
    <xf numFmtId="204" fontId="2" fillId="18" borderId="11" xfId="0" applyNumberFormat="1" applyFont="1" applyFill="1" applyBorder="1" applyAlignment="1">
      <alignment/>
    </xf>
    <xf numFmtId="194" fontId="2" fillId="18" borderId="11" xfId="0" applyNumberFormat="1" applyFont="1" applyFill="1" applyBorder="1" applyAlignment="1">
      <alignment/>
    </xf>
    <xf numFmtId="194" fontId="2" fillId="18" borderId="11" xfId="33" applyFont="1" applyFill="1" applyBorder="1" applyAlignment="1">
      <alignment/>
    </xf>
    <xf numFmtId="204" fontId="3" fillId="34" borderId="10" xfId="33" applyNumberFormat="1" applyFont="1" applyFill="1" applyBorder="1" applyAlignment="1">
      <alignment horizontal="right"/>
    </xf>
    <xf numFmtId="204" fontId="3" fillId="34" borderId="10" xfId="33" applyNumberFormat="1" applyFont="1" applyFill="1" applyBorder="1" applyAlignment="1">
      <alignment horizontal="center"/>
    </xf>
    <xf numFmtId="194" fontId="3" fillId="34" borderId="10" xfId="33" applyFont="1" applyFill="1" applyBorder="1" applyAlignment="1">
      <alignment/>
    </xf>
    <xf numFmtId="0" fontId="3" fillId="32" borderId="13" xfId="0" applyFont="1" applyFill="1" applyBorder="1" applyAlignment="1">
      <alignment horizontal="right"/>
    </xf>
    <xf numFmtId="194" fontId="3" fillId="32" borderId="13" xfId="33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/>
    </xf>
    <xf numFmtId="204" fontId="5" fillId="34" borderId="11" xfId="33" applyNumberFormat="1" applyFont="1" applyFill="1" applyBorder="1" applyAlignment="1">
      <alignment horizontal="right"/>
    </xf>
    <xf numFmtId="204" fontId="5" fillId="34" borderId="11" xfId="33" applyNumberFormat="1" applyFont="1" applyFill="1" applyBorder="1" applyAlignment="1">
      <alignment horizontal="center"/>
    </xf>
    <xf numFmtId="194" fontId="5" fillId="34" borderId="11" xfId="33" applyFont="1" applyFill="1" applyBorder="1" applyAlignment="1">
      <alignment/>
    </xf>
    <xf numFmtId="49" fontId="3" fillId="34" borderId="14" xfId="0" applyNumberFormat="1" applyFont="1" applyFill="1" applyBorder="1" applyAlignment="1">
      <alignment horizontal="center"/>
    </xf>
    <xf numFmtId="204" fontId="3" fillId="34" borderId="14" xfId="33" applyNumberFormat="1" applyFont="1" applyFill="1" applyBorder="1" applyAlignment="1">
      <alignment horizontal="right"/>
    </xf>
    <xf numFmtId="204" fontId="3" fillId="34" borderId="14" xfId="33" applyNumberFormat="1" applyFont="1" applyFill="1" applyBorder="1" applyAlignment="1">
      <alignment horizontal="center"/>
    </xf>
    <xf numFmtId="194" fontId="3" fillId="34" borderId="14" xfId="33" applyFont="1" applyFill="1" applyBorder="1" applyAlignment="1">
      <alignment/>
    </xf>
    <xf numFmtId="194" fontId="5" fillId="18" borderId="11" xfId="0" applyNumberFormat="1" applyFont="1" applyFill="1" applyBorder="1" applyAlignment="1">
      <alignment/>
    </xf>
    <xf numFmtId="194" fontId="11" fillId="34" borderId="10" xfId="33" applyFont="1" applyFill="1" applyBorder="1" applyAlignment="1">
      <alignment/>
    </xf>
    <xf numFmtId="0" fontId="15" fillId="0" borderId="0" xfId="0" applyFont="1" applyAlignment="1">
      <alignment/>
    </xf>
    <xf numFmtId="0" fontId="16" fillId="5" borderId="12" xfId="0" applyFont="1" applyFill="1" applyBorder="1" applyAlignment="1">
      <alignment horizontal="center"/>
    </xf>
    <xf numFmtId="0" fontId="16" fillId="18" borderId="11" xfId="0" applyFont="1" applyFill="1" applyBorder="1" applyAlignment="1">
      <alignment horizontal="center"/>
    </xf>
    <xf numFmtId="0" fontId="18" fillId="18" borderId="11" xfId="0" applyFont="1" applyFill="1" applyBorder="1" applyAlignment="1">
      <alignment/>
    </xf>
    <xf numFmtId="0" fontId="16" fillId="18" borderId="11" xfId="0" applyFont="1" applyFill="1" applyBorder="1" applyAlignment="1">
      <alignment/>
    </xf>
    <xf numFmtId="204" fontId="19" fillId="18" borderId="11" xfId="0" applyNumberFormat="1" applyFont="1" applyFill="1" applyBorder="1" applyAlignment="1">
      <alignment/>
    </xf>
    <xf numFmtId="194" fontId="19" fillId="18" borderId="11" xfId="0" applyNumberFormat="1" applyFont="1" applyFill="1" applyBorder="1" applyAlignment="1">
      <alignment/>
    </xf>
    <xf numFmtId="194" fontId="19" fillId="18" borderId="11" xfId="33" applyFont="1" applyFill="1" applyBorder="1" applyAlignment="1">
      <alignment/>
    </xf>
    <xf numFmtId="0" fontId="16" fillId="32" borderId="11" xfId="0" applyFont="1" applyFill="1" applyBorder="1" applyAlignment="1">
      <alignment horizontal="center"/>
    </xf>
    <xf numFmtId="0" fontId="20" fillId="32" borderId="10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49" fontId="16" fillId="34" borderId="10" xfId="0" applyNumberFormat="1" applyFont="1" applyFill="1" applyBorder="1" applyAlignment="1">
      <alignment horizontal="center"/>
    </xf>
    <xf numFmtId="204" fontId="16" fillId="34" borderId="10" xfId="33" applyNumberFormat="1" applyFont="1" applyFill="1" applyBorder="1" applyAlignment="1">
      <alignment horizontal="right"/>
    </xf>
    <xf numFmtId="204" fontId="16" fillId="34" borderId="10" xfId="33" applyNumberFormat="1" applyFont="1" applyFill="1" applyBorder="1" applyAlignment="1">
      <alignment horizontal="center"/>
    </xf>
    <xf numFmtId="194" fontId="16" fillId="34" borderId="10" xfId="33" applyFont="1" applyFill="1" applyBorder="1" applyAlignment="1">
      <alignment/>
    </xf>
    <xf numFmtId="194" fontId="21" fillId="34" borderId="10" xfId="33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6" fillId="32" borderId="13" xfId="0" applyFont="1" applyFill="1" applyBorder="1" applyAlignment="1">
      <alignment horizontal="center"/>
    </xf>
    <xf numFmtId="0" fontId="16" fillId="32" borderId="13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20" fillId="32" borderId="14" xfId="0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center"/>
    </xf>
    <xf numFmtId="194" fontId="19" fillId="34" borderId="10" xfId="33" applyFont="1" applyFill="1" applyBorder="1" applyAlignment="1">
      <alignment/>
    </xf>
    <xf numFmtId="0" fontId="16" fillId="32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/>
    </xf>
    <xf numFmtId="194" fontId="22" fillId="33" borderId="10" xfId="0" applyNumberFormat="1" applyFont="1" applyFill="1" applyBorder="1" applyAlignment="1">
      <alignment/>
    </xf>
    <xf numFmtId="194" fontId="19" fillId="33" borderId="10" xfId="33" applyFont="1" applyFill="1" applyBorder="1" applyAlignment="1">
      <alignment/>
    </xf>
    <xf numFmtId="194" fontId="22" fillId="33" borderId="10" xfId="33" applyFont="1" applyFill="1" applyBorder="1" applyAlignment="1">
      <alignment/>
    </xf>
    <xf numFmtId="0" fontId="16" fillId="34" borderId="10" xfId="0" applyFont="1" applyFill="1" applyBorder="1" applyAlignment="1">
      <alignment/>
    </xf>
    <xf numFmtId="204" fontId="22" fillId="34" borderId="10" xfId="0" applyNumberFormat="1" applyFont="1" applyFill="1" applyBorder="1" applyAlignment="1">
      <alignment horizontal="right"/>
    </xf>
    <xf numFmtId="204" fontId="22" fillId="34" borderId="10" xfId="0" applyNumberFormat="1" applyFont="1" applyFill="1" applyBorder="1" applyAlignment="1">
      <alignment/>
    </xf>
    <xf numFmtId="194" fontId="22" fillId="34" borderId="10" xfId="0" applyNumberFormat="1" applyFont="1" applyFill="1" applyBorder="1" applyAlignment="1">
      <alignment/>
    </xf>
    <xf numFmtId="194" fontId="22" fillId="34" borderId="10" xfId="33" applyFont="1" applyFill="1" applyBorder="1" applyAlignment="1">
      <alignment/>
    </xf>
    <xf numFmtId="0" fontId="15" fillId="0" borderId="16" xfId="0" applyFont="1" applyBorder="1" applyAlignment="1">
      <alignment/>
    </xf>
    <xf numFmtId="194" fontId="25" fillId="18" borderId="11" xfId="0" applyNumberFormat="1" applyFont="1" applyFill="1" applyBorder="1" applyAlignment="1">
      <alignment/>
    </xf>
    <xf numFmtId="194" fontId="25" fillId="33" borderId="10" xfId="33" applyFont="1" applyFill="1" applyBorder="1" applyAlignment="1">
      <alignment/>
    </xf>
    <xf numFmtId="194" fontId="25" fillId="18" borderId="11" xfId="33" applyFont="1" applyFill="1" applyBorder="1" applyAlignment="1">
      <alignment/>
    </xf>
    <xf numFmtId="194" fontId="25" fillId="34" borderId="10" xfId="33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right"/>
    </xf>
    <xf numFmtId="0" fontId="16" fillId="32" borderId="17" xfId="0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0" fontId="23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0" fontId="21" fillId="32" borderId="17" xfId="0" applyFont="1" applyFill="1" applyBorder="1" applyAlignment="1">
      <alignment/>
    </xf>
    <xf numFmtId="0" fontId="16" fillId="32" borderId="14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204" fontId="22" fillId="34" borderId="13" xfId="0" applyNumberFormat="1" applyFont="1" applyFill="1" applyBorder="1" applyAlignment="1">
      <alignment horizontal="right"/>
    </xf>
    <xf numFmtId="204" fontId="22" fillId="34" borderId="13" xfId="0" applyNumberFormat="1" applyFont="1" applyFill="1" applyBorder="1" applyAlignment="1">
      <alignment/>
    </xf>
    <xf numFmtId="194" fontId="22" fillId="34" borderId="13" xfId="0" applyNumberFormat="1" applyFont="1" applyFill="1" applyBorder="1" applyAlignment="1">
      <alignment/>
    </xf>
    <xf numFmtId="194" fontId="19" fillId="34" borderId="13" xfId="33" applyFont="1" applyFill="1" applyBorder="1" applyAlignment="1">
      <alignment/>
    </xf>
    <xf numFmtId="194" fontId="22" fillId="34" borderId="13" xfId="33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16" fillId="32" borderId="12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right"/>
    </xf>
    <xf numFmtId="0" fontId="16" fillId="35" borderId="12" xfId="0" applyFont="1" applyFill="1" applyBorder="1" applyAlignment="1">
      <alignment/>
    </xf>
    <xf numFmtId="204" fontId="22" fillId="33" borderId="12" xfId="0" applyNumberFormat="1" applyFont="1" applyFill="1" applyBorder="1" applyAlignment="1">
      <alignment horizontal="right"/>
    </xf>
    <xf numFmtId="204" fontId="22" fillId="33" borderId="12" xfId="0" applyNumberFormat="1" applyFont="1" applyFill="1" applyBorder="1" applyAlignment="1">
      <alignment/>
    </xf>
    <xf numFmtId="194" fontId="22" fillId="33" borderId="12" xfId="0" applyNumberFormat="1" applyFont="1" applyFill="1" applyBorder="1" applyAlignment="1">
      <alignment/>
    </xf>
    <xf numFmtId="194" fontId="25" fillId="33" borderId="12" xfId="33" applyFont="1" applyFill="1" applyBorder="1" applyAlignment="1">
      <alignment/>
    </xf>
    <xf numFmtId="194" fontId="22" fillId="33" borderId="12" xfId="33" applyFont="1" applyFill="1" applyBorder="1" applyAlignment="1">
      <alignment/>
    </xf>
    <xf numFmtId="194" fontId="19" fillId="33" borderId="12" xfId="33" applyFont="1" applyFill="1" applyBorder="1" applyAlignment="1">
      <alignment/>
    </xf>
    <xf numFmtId="0" fontId="16" fillId="34" borderId="17" xfId="0" applyFont="1" applyFill="1" applyBorder="1" applyAlignment="1">
      <alignment/>
    </xf>
    <xf numFmtId="204" fontId="22" fillId="34" borderId="17" xfId="0" applyNumberFormat="1" applyFont="1" applyFill="1" applyBorder="1" applyAlignment="1">
      <alignment horizontal="right"/>
    </xf>
    <xf numFmtId="204" fontId="22" fillId="34" borderId="17" xfId="0" applyNumberFormat="1" applyFont="1" applyFill="1" applyBorder="1" applyAlignment="1">
      <alignment/>
    </xf>
    <xf numFmtId="194" fontId="22" fillId="34" borderId="17" xfId="0" applyNumberFormat="1" applyFont="1" applyFill="1" applyBorder="1" applyAlignment="1">
      <alignment/>
    </xf>
    <xf numFmtId="194" fontId="19" fillId="34" borderId="17" xfId="33" applyFont="1" applyFill="1" applyBorder="1" applyAlignment="1">
      <alignment/>
    </xf>
    <xf numFmtId="194" fontId="22" fillId="34" borderId="17" xfId="33" applyFont="1" applyFill="1" applyBorder="1" applyAlignment="1">
      <alignment/>
    </xf>
    <xf numFmtId="204" fontId="19" fillId="34" borderId="10" xfId="0" applyNumberFormat="1" applyFont="1" applyFill="1" applyBorder="1" applyAlignment="1">
      <alignment horizontal="right"/>
    </xf>
    <xf numFmtId="204" fontId="19" fillId="34" borderId="10" xfId="0" applyNumberFormat="1" applyFont="1" applyFill="1" applyBorder="1" applyAlignment="1">
      <alignment/>
    </xf>
    <xf numFmtId="194" fontId="21" fillId="33" borderId="10" xfId="33" applyFont="1" applyFill="1" applyBorder="1" applyAlignment="1">
      <alignment/>
    </xf>
    <xf numFmtId="0" fontId="16" fillId="32" borderId="14" xfId="0" applyFont="1" applyFill="1" applyBorder="1" applyAlignment="1">
      <alignment horizontal="center"/>
    </xf>
    <xf numFmtId="0" fontId="16" fillId="34" borderId="14" xfId="0" applyFont="1" applyFill="1" applyBorder="1" applyAlignment="1">
      <alignment/>
    </xf>
    <xf numFmtId="204" fontId="22" fillId="34" borderId="14" xfId="0" applyNumberFormat="1" applyFont="1" applyFill="1" applyBorder="1" applyAlignment="1">
      <alignment horizontal="right"/>
    </xf>
    <xf numFmtId="204" fontId="22" fillId="34" borderId="14" xfId="0" applyNumberFormat="1" applyFont="1" applyFill="1" applyBorder="1" applyAlignment="1">
      <alignment/>
    </xf>
    <xf numFmtId="194" fontId="22" fillId="34" borderId="14" xfId="0" applyNumberFormat="1" applyFont="1" applyFill="1" applyBorder="1" applyAlignment="1">
      <alignment/>
    </xf>
    <xf numFmtId="194" fontId="19" fillId="34" borderId="14" xfId="33" applyFont="1" applyFill="1" applyBorder="1" applyAlignment="1">
      <alignment/>
    </xf>
    <xf numFmtId="194" fontId="22" fillId="34" borderId="14" xfId="33" applyFont="1" applyFill="1" applyBorder="1" applyAlignment="1">
      <alignment/>
    </xf>
    <xf numFmtId="0" fontId="22" fillId="32" borderId="17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center"/>
    </xf>
    <xf numFmtId="204" fontId="19" fillId="33" borderId="10" xfId="0" applyNumberFormat="1" applyFont="1" applyFill="1" applyBorder="1" applyAlignment="1">
      <alignment horizontal="right"/>
    </xf>
    <xf numFmtId="204" fontId="19" fillId="33" borderId="10" xfId="0" applyNumberFormat="1" applyFont="1" applyFill="1" applyBorder="1" applyAlignment="1">
      <alignment/>
    </xf>
    <xf numFmtId="194" fontId="19" fillId="33" borderId="10" xfId="0" applyNumberFormat="1" applyFont="1" applyFill="1" applyBorder="1" applyAlignment="1">
      <alignment/>
    </xf>
    <xf numFmtId="0" fontId="26" fillId="32" borderId="17" xfId="0" applyFont="1" applyFill="1" applyBorder="1" applyAlignment="1">
      <alignment/>
    </xf>
    <xf numFmtId="0" fontId="16" fillId="32" borderId="18" xfId="0" applyFont="1" applyFill="1" applyBorder="1" applyAlignment="1">
      <alignment horizontal="center"/>
    </xf>
    <xf numFmtId="0" fontId="16" fillId="34" borderId="18" xfId="0" applyFont="1" applyFill="1" applyBorder="1" applyAlignment="1">
      <alignment/>
    </xf>
    <xf numFmtId="204" fontId="22" fillId="34" borderId="18" xfId="0" applyNumberFormat="1" applyFont="1" applyFill="1" applyBorder="1" applyAlignment="1">
      <alignment horizontal="right"/>
    </xf>
    <xf numFmtId="204" fontId="22" fillId="34" borderId="18" xfId="0" applyNumberFormat="1" applyFont="1" applyFill="1" applyBorder="1" applyAlignment="1">
      <alignment/>
    </xf>
    <xf numFmtId="194" fontId="22" fillId="34" borderId="18" xfId="0" applyNumberFormat="1" applyFont="1" applyFill="1" applyBorder="1" applyAlignment="1">
      <alignment/>
    </xf>
    <xf numFmtId="194" fontId="19" fillId="34" borderId="18" xfId="33" applyFont="1" applyFill="1" applyBorder="1" applyAlignment="1">
      <alignment/>
    </xf>
    <xf numFmtId="194" fontId="22" fillId="34" borderId="18" xfId="33" applyFont="1" applyFill="1" applyBorder="1" applyAlignment="1">
      <alignment/>
    </xf>
    <xf numFmtId="204" fontId="22" fillId="34" borderId="11" xfId="0" applyNumberFormat="1" applyFont="1" applyFill="1" applyBorder="1" applyAlignment="1">
      <alignment horizontal="right"/>
    </xf>
    <xf numFmtId="204" fontId="22" fillId="34" borderId="11" xfId="0" applyNumberFormat="1" applyFont="1" applyFill="1" applyBorder="1" applyAlignment="1">
      <alignment/>
    </xf>
    <xf numFmtId="194" fontId="22" fillId="34" borderId="11" xfId="0" applyNumberFormat="1" applyFont="1" applyFill="1" applyBorder="1" applyAlignment="1">
      <alignment/>
    </xf>
    <xf numFmtId="194" fontId="19" fillId="34" borderId="11" xfId="33" applyFont="1" applyFill="1" applyBorder="1" applyAlignment="1">
      <alignment/>
    </xf>
    <xf numFmtId="194" fontId="22" fillId="34" borderId="11" xfId="33" applyFont="1" applyFill="1" applyBorder="1" applyAlignment="1">
      <alignment/>
    </xf>
    <xf numFmtId="0" fontId="16" fillId="32" borderId="10" xfId="0" applyFont="1" applyFill="1" applyBorder="1" applyAlignment="1">
      <alignment horizontal="left"/>
    </xf>
    <xf numFmtId="194" fontId="17" fillId="34" borderId="10" xfId="33" applyFont="1" applyFill="1" applyBorder="1" applyAlignment="1">
      <alignment/>
    </xf>
    <xf numFmtId="0" fontId="23" fillId="32" borderId="10" xfId="0" applyFont="1" applyFill="1" applyBorder="1" applyAlignment="1">
      <alignment/>
    </xf>
    <xf numFmtId="0" fontId="20" fillId="32" borderId="17" xfId="0" applyFont="1" applyFill="1" applyBorder="1" applyAlignment="1">
      <alignment/>
    </xf>
    <xf numFmtId="0" fontId="16" fillId="34" borderId="10" xfId="0" applyFont="1" applyFill="1" applyBorder="1" applyAlignment="1">
      <alignment horizontal="left"/>
    </xf>
    <xf numFmtId="0" fontId="22" fillId="32" borderId="13" xfId="0" applyFont="1" applyFill="1" applyBorder="1" applyAlignment="1">
      <alignment horizontal="right"/>
    </xf>
    <xf numFmtId="0" fontId="16" fillId="35" borderId="13" xfId="0" applyFont="1" applyFill="1" applyBorder="1" applyAlignment="1">
      <alignment/>
    </xf>
    <xf numFmtId="194" fontId="25" fillId="33" borderId="13" xfId="33" applyFont="1" applyFill="1" applyBorder="1" applyAlignment="1">
      <alignment/>
    </xf>
    <xf numFmtId="194" fontId="19" fillId="33" borderId="13" xfId="33" applyFont="1" applyFill="1" applyBorder="1" applyAlignment="1">
      <alignment/>
    </xf>
    <xf numFmtId="204" fontId="19" fillId="33" borderId="13" xfId="0" applyNumberFormat="1" applyFont="1" applyFill="1" applyBorder="1" applyAlignment="1">
      <alignment horizontal="right"/>
    </xf>
    <xf numFmtId="204" fontId="19" fillId="33" borderId="13" xfId="0" applyNumberFormat="1" applyFont="1" applyFill="1" applyBorder="1" applyAlignment="1">
      <alignment/>
    </xf>
    <xf numFmtId="194" fontId="19" fillId="33" borderId="13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204" fontId="25" fillId="18" borderId="11" xfId="0" applyNumberFormat="1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22" fillId="32" borderId="18" xfId="0" applyFont="1" applyFill="1" applyBorder="1" applyAlignment="1">
      <alignment horizontal="right"/>
    </xf>
    <xf numFmtId="0" fontId="16" fillId="33" borderId="18" xfId="0" applyFont="1" applyFill="1" applyBorder="1" applyAlignment="1">
      <alignment/>
    </xf>
    <xf numFmtId="194" fontId="22" fillId="33" borderId="18" xfId="0" applyNumberFormat="1" applyFont="1" applyFill="1" applyBorder="1" applyAlignment="1">
      <alignment/>
    </xf>
    <xf numFmtId="194" fontId="19" fillId="33" borderId="18" xfId="33" applyFont="1" applyFill="1" applyBorder="1" applyAlignment="1">
      <alignment/>
    </xf>
    <xf numFmtId="194" fontId="17" fillId="33" borderId="10" xfId="33" applyFont="1" applyFill="1" applyBorder="1" applyAlignment="1">
      <alignment/>
    </xf>
    <xf numFmtId="194" fontId="19" fillId="34" borderId="10" xfId="0" applyNumberFormat="1" applyFont="1" applyFill="1" applyBorder="1" applyAlignment="1">
      <alignment/>
    </xf>
    <xf numFmtId="204" fontId="19" fillId="33" borderId="18" xfId="0" applyNumberFormat="1" applyFont="1" applyFill="1" applyBorder="1" applyAlignment="1">
      <alignment horizontal="right"/>
    </xf>
    <xf numFmtId="204" fontId="19" fillId="33" borderId="18" xfId="0" applyNumberFormat="1" applyFont="1" applyFill="1" applyBorder="1" applyAlignment="1">
      <alignment/>
    </xf>
    <xf numFmtId="194" fontId="19" fillId="33" borderId="18" xfId="0" applyNumberFormat="1" applyFont="1" applyFill="1" applyBorder="1" applyAlignment="1">
      <alignment/>
    </xf>
    <xf numFmtId="194" fontId="25" fillId="33" borderId="13" xfId="0" applyNumberFormat="1" applyFont="1" applyFill="1" applyBorder="1" applyAlignment="1">
      <alignment/>
    </xf>
    <xf numFmtId="194" fontId="25" fillId="33" borderId="18" xfId="33" applyFont="1" applyFill="1" applyBorder="1" applyAlignment="1">
      <alignment/>
    </xf>
    <xf numFmtId="0" fontId="2" fillId="5" borderId="0" xfId="0" applyFont="1" applyFill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6" fillId="5" borderId="12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Percent" xfId="40"/>
    <cellStyle name="เซลล์ตรวจสอบ" xfId="41"/>
    <cellStyle name="เซลล์ที่มีการเชื่อมโยง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4.28125" style="1" customWidth="1"/>
    <col min="2" max="2" width="32.281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42187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8515625" style="1" customWidth="1"/>
    <col min="19" max="16384" width="9.140625" style="1" customWidth="1"/>
  </cols>
  <sheetData>
    <row r="1" spans="1:18" ht="18">
      <c r="A1" s="203" t="s">
        <v>76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1:18" ht="15.75" customHeight="1">
      <c r="A2" s="204" t="s">
        <v>0</v>
      </c>
      <c r="B2" s="204" t="s">
        <v>1</v>
      </c>
      <c r="C2" s="205" t="s">
        <v>2</v>
      </c>
      <c r="D2" s="206" t="s">
        <v>3</v>
      </c>
      <c r="E2" s="206"/>
      <c r="F2" s="206"/>
      <c r="G2" s="206" t="s">
        <v>7</v>
      </c>
      <c r="H2" s="206"/>
      <c r="I2" s="206"/>
      <c r="J2" s="206"/>
      <c r="K2" s="206" t="s">
        <v>9</v>
      </c>
      <c r="L2" s="206"/>
      <c r="M2" s="206"/>
      <c r="N2" s="206"/>
      <c r="O2" s="206" t="s">
        <v>10</v>
      </c>
      <c r="P2" s="206"/>
      <c r="Q2" s="206"/>
      <c r="R2" s="206"/>
    </row>
    <row r="3" spans="1:18" ht="14.25" customHeight="1">
      <c r="A3" s="204"/>
      <c r="B3" s="204"/>
      <c r="C3" s="205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5" customHeight="1">
      <c r="A4" s="13"/>
      <c r="B4" s="17" t="s">
        <v>11</v>
      </c>
      <c r="C4" s="14"/>
      <c r="D4" s="23">
        <f>E4+F4</f>
        <v>100999.35</v>
      </c>
      <c r="E4" s="22">
        <f>SUM(E7)</f>
        <v>0</v>
      </c>
      <c r="F4" s="22">
        <f>SUM(F7)</f>
        <v>100999.35</v>
      </c>
      <c r="G4" s="24">
        <f>I4+J4</f>
        <v>99940.65000000001</v>
      </c>
      <c r="H4" s="24">
        <f>G4*100/D4</f>
        <v>98.95177543221813</v>
      </c>
      <c r="I4" s="22">
        <f>SUM(I7)</f>
        <v>0</v>
      </c>
      <c r="J4" s="22">
        <f>SUM(J7)</f>
        <v>99940.65000000001</v>
      </c>
      <c r="K4" s="24">
        <f>M4+N4</f>
        <v>-3.623767952376511E-13</v>
      </c>
      <c r="L4" s="24">
        <f>K4*100/D4</f>
        <v>-3.587912152282674E-16</v>
      </c>
      <c r="M4" s="22">
        <f>SUM(M7)</f>
        <v>0</v>
      </c>
      <c r="N4" s="22">
        <f>SUM(N7)</f>
        <v>-3.623767952376511E-13</v>
      </c>
      <c r="O4" s="22">
        <f>Q4+R4</f>
        <v>1058.6999999999975</v>
      </c>
      <c r="P4" s="22">
        <f>O4*100/D4</f>
        <v>1.0482245677818693</v>
      </c>
      <c r="Q4" s="22">
        <f>SUM(Q7)</f>
        <v>0</v>
      </c>
      <c r="R4" s="22">
        <f>SUM(R7)</f>
        <v>1058.6999999999975</v>
      </c>
    </row>
    <row r="5" spans="1:19" ht="20.25" customHeight="1">
      <c r="A5" s="25">
        <v>2</v>
      </c>
      <c r="B5" s="48" t="s">
        <v>18</v>
      </c>
      <c r="C5" s="26"/>
      <c r="D5" s="27"/>
      <c r="E5" s="28"/>
      <c r="F5" s="27"/>
      <c r="G5" s="29"/>
      <c r="H5" s="30"/>
      <c r="I5" s="29"/>
      <c r="J5" s="31"/>
      <c r="K5" s="29"/>
      <c r="L5" s="30"/>
      <c r="M5" s="29"/>
      <c r="N5" s="29"/>
      <c r="O5" s="29"/>
      <c r="P5" s="30"/>
      <c r="Q5" s="29"/>
      <c r="R5" s="29"/>
      <c r="S5" s="49"/>
    </row>
    <row r="6" spans="1:18" ht="17.25" customHeight="1">
      <c r="A6" s="25"/>
      <c r="B6" s="18" t="s">
        <v>16</v>
      </c>
      <c r="C6" s="26"/>
      <c r="D6" s="27"/>
      <c r="E6" s="28"/>
      <c r="F6" s="27"/>
      <c r="G6" s="29"/>
      <c r="H6" s="31"/>
      <c r="I6" s="29"/>
      <c r="J6" s="31"/>
      <c r="K6" s="29"/>
      <c r="L6" s="31"/>
      <c r="M6" s="29"/>
      <c r="N6" s="29"/>
      <c r="O6" s="29"/>
      <c r="P6" s="31"/>
      <c r="Q6" s="29"/>
      <c r="R6" s="29"/>
    </row>
    <row r="7" spans="1:18" ht="17.25" customHeight="1">
      <c r="A7" s="2">
        <v>1.25</v>
      </c>
      <c r="B7" s="3" t="s">
        <v>13</v>
      </c>
      <c r="C7" s="36" t="s">
        <v>15</v>
      </c>
      <c r="D7" s="37">
        <f>F7+E7</f>
        <v>100999.35</v>
      </c>
      <c r="E7" s="38"/>
      <c r="F7" s="37">
        <v>100999.35</v>
      </c>
      <c r="G7" s="39">
        <f>I7+J7</f>
        <v>99940.65000000001</v>
      </c>
      <c r="H7" s="39">
        <f>G7*100/D7</f>
        <v>98.95177543221813</v>
      </c>
      <c r="I7" s="39"/>
      <c r="J7" s="39">
        <f>94332.55+5608.1</f>
        <v>99940.65000000001</v>
      </c>
      <c r="K7" s="39">
        <f>M7+N7</f>
        <v>-3.623767952376511E-13</v>
      </c>
      <c r="L7" s="39">
        <f>K7*100/D7</f>
        <v>-3.587912152282674E-16</v>
      </c>
      <c r="M7" s="39"/>
      <c r="N7" s="39">
        <f>5631.5-5608.1-23.4</f>
        <v>-3.623767952376511E-13</v>
      </c>
      <c r="O7" s="39">
        <f>D7-G7-K7</f>
        <v>1058.6999999999975</v>
      </c>
      <c r="P7" s="39">
        <f>O7*100/D7</f>
        <v>1.0482245677818693</v>
      </c>
      <c r="Q7" s="39">
        <f>E7-I7-M7</f>
        <v>0</v>
      </c>
      <c r="R7" s="39">
        <f>F7-J7-N7</f>
        <v>1058.6999999999975</v>
      </c>
    </row>
    <row r="8" spans="1:18" ht="17.25" customHeight="1">
      <c r="A8" s="16"/>
      <c r="B8" s="15" t="s">
        <v>14</v>
      </c>
      <c r="C8" s="46" t="s">
        <v>17</v>
      </c>
      <c r="D8" s="32"/>
      <c r="E8" s="33"/>
      <c r="F8" s="32"/>
      <c r="G8" s="34"/>
      <c r="H8" s="35"/>
      <c r="I8" s="34"/>
      <c r="J8" s="35"/>
      <c r="K8" s="34"/>
      <c r="L8" s="35"/>
      <c r="M8" s="34"/>
      <c r="N8" s="34"/>
      <c r="O8" s="34"/>
      <c r="P8" s="35"/>
      <c r="Q8" s="34"/>
      <c r="R8" s="34"/>
    </row>
    <row r="10" ht="18">
      <c r="B10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4.28125" style="1" customWidth="1"/>
    <col min="2" max="2" width="34.1406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14062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140625" style="1" customWidth="1"/>
    <col min="19" max="16384" width="9.140625" style="1" customWidth="1"/>
  </cols>
  <sheetData>
    <row r="1" spans="1:18" ht="18">
      <c r="A1" s="203" t="s">
        <v>78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1:18" ht="15.75" customHeight="1">
      <c r="A2" s="204" t="s">
        <v>0</v>
      </c>
      <c r="B2" s="204" t="s">
        <v>1</v>
      </c>
      <c r="C2" s="205" t="s">
        <v>2</v>
      </c>
      <c r="D2" s="206" t="s">
        <v>3</v>
      </c>
      <c r="E2" s="206"/>
      <c r="F2" s="206"/>
      <c r="G2" s="206" t="s">
        <v>7</v>
      </c>
      <c r="H2" s="206"/>
      <c r="I2" s="206"/>
      <c r="J2" s="206"/>
      <c r="K2" s="206" t="s">
        <v>9</v>
      </c>
      <c r="L2" s="206"/>
      <c r="M2" s="206"/>
      <c r="N2" s="206"/>
      <c r="O2" s="206" t="s">
        <v>10</v>
      </c>
      <c r="P2" s="206"/>
      <c r="Q2" s="206"/>
      <c r="R2" s="206"/>
    </row>
    <row r="3" spans="1:18" ht="14.25" customHeight="1">
      <c r="A3" s="204"/>
      <c r="B3" s="204"/>
      <c r="C3" s="205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8" customHeight="1">
      <c r="A4" s="13"/>
      <c r="B4" s="17" t="s">
        <v>46</v>
      </c>
      <c r="C4" s="14"/>
      <c r="D4" s="59">
        <f>E4+F4</f>
        <v>6845000</v>
      </c>
      <c r="E4" s="60">
        <f>SUM(E7+E9+E12+E15+E17)</f>
        <v>952000</v>
      </c>
      <c r="F4" s="60">
        <f>SUM(F30+F44)</f>
        <v>5893000</v>
      </c>
      <c r="G4" s="61">
        <f>I4+J4</f>
        <v>6798038.73</v>
      </c>
      <c r="H4" s="61">
        <f>G4*100/D4</f>
        <v>99.31393323593863</v>
      </c>
      <c r="I4" s="60">
        <f>SUM(I7+I9+I12+I15+I17)</f>
        <v>910022.74</v>
      </c>
      <c r="J4" s="60">
        <f>SUM(J30+J44)</f>
        <v>5888015.99</v>
      </c>
      <c r="K4" s="61">
        <f>M4+N4</f>
        <v>-1.9272805573677942E-11</v>
      </c>
      <c r="L4" s="61">
        <f>K4*100/D4</f>
        <v>-2.8156034439266533E-16</v>
      </c>
      <c r="M4" s="60">
        <f>SUM(M7+M9+M12+M15+M17)</f>
        <v>0</v>
      </c>
      <c r="N4" s="60">
        <f>SUM(N30+N44)</f>
        <v>-1.9272805573677942E-11</v>
      </c>
      <c r="O4" s="75">
        <f>Q4+R4</f>
        <v>46961.26999999994</v>
      </c>
      <c r="P4" s="75">
        <f>O4*100/D4</f>
        <v>0.6860667640613577</v>
      </c>
      <c r="Q4" s="75">
        <f>SUM(Q7+Q9+Q12+Q15+Q17)</f>
        <v>41977.26000000001</v>
      </c>
      <c r="R4" s="75">
        <f>SUM(R30+R44)</f>
        <v>4984.009999999927</v>
      </c>
    </row>
    <row r="5" spans="1:18" ht="18" customHeight="1">
      <c r="A5" s="25">
        <v>1</v>
      </c>
      <c r="B5" s="53" t="s">
        <v>21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6.5" customHeight="1">
      <c r="A6" s="2"/>
      <c r="B6" s="4" t="s">
        <v>31</v>
      </c>
      <c r="C6" s="3"/>
      <c r="D6" s="9"/>
      <c r="E6" s="10"/>
      <c r="F6" s="10"/>
      <c r="G6" s="11"/>
      <c r="H6" s="11"/>
      <c r="I6" s="10"/>
      <c r="J6" s="10"/>
      <c r="K6" s="11"/>
      <c r="L6" s="11"/>
      <c r="M6" s="10"/>
      <c r="N6" s="10"/>
      <c r="O6" s="10"/>
      <c r="P6" s="10"/>
      <c r="Q6" s="10"/>
      <c r="R6" s="10"/>
    </row>
    <row r="7" spans="1:18" ht="17.25" customHeight="1">
      <c r="A7" s="2">
        <v>1.1</v>
      </c>
      <c r="B7" s="3" t="s">
        <v>22</v>
      </c>
      <c r="C7" s="54" t="s">
        <v>20</v>
      </c>
      <c r="D7" s="62">
        <f>F7+E7</f>
        <v>950000</v>
      </c>
      <c r="E7" s="63"/>
      <c r="F7" s="62">
        <v>950000</v>
      </c>
      <c r="G7" s="64">
        <f>I7+J7</f>
        <v>949775.14</v>
      </c>
      <c r="H7" s="64">
        <f>G7*100/D7</f>
        <v>99.97633052631579</v>
      </c>
      <c r="I7" s="64"/>
      <c r="J7" s="64">
        <f>27400+31571.4+70770+66419.1+51019.19+84450+14819.85+92742.3+76320+55854+39920+29021.4+8000.9+18000+20000+89997+157370+16100</f>
        <v>949775.14</v>
      </c>
      <c r="K7" s="64">
        <f>M7+N7</f>
        <v>0</v>
      </c>
      <c r="L7" s="64">
        <f>K7*100/D7</f>
        <v>0</v>
      </c>
      <c r="M7" s="64"/>
      <c r="N7" s="64"/>
      <c r="O7" s="64">
        <f>D7-G7-K7</f>
        <v>224.85999999998603</v>
      </c>
      <c r="P7" s="64">
        <f>O7*100/D7</f>
        <v>0.023669473684209057</v>
      </c>
      <c r="Q7" s="64">
        <f>E7-I7-M7</f>
        <v>0</v>
      </c>
      <c r="R7" s="64">
        <f>F7-J7-N7</f>
        <v>224.85999999998603</v>
      </c>
    </row>
    <row r="8" spans="1:18" ht="19.5" customHeight="1">
      <c r="A8" s="2"/>
      <c r="B8" s="4" t="s">
        <v>30</v>
      </c>
      <c r="C8" s="54"/>
      <c r="D8" s="62"/>
      <c r="E8" s="63"/>
      <c r="F8" s="62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 ht="16.5" customHeight="1">
      <c r="A9" s="2">
        <v>1.2</v>
      </c>
      <c r="B9" s="3" t="s">
        <v>23</v>
      </c>
      <c r="C9" s="54" t="s">
        <v>20</v>
      </c>
      <c r="D9" s="62">
        <f>F9+E9</f>
        <v>600000</v>
      </c>
      <c r="E9" s="63"/>
      <c r="F9" s="62">
        <v>600000</v>
      </c>
      <c r="G9" s="64">
        <f>I9+J9</f>
        <v>599982.73</v>
      </c>
      <c r="H9" s="76">
        <f>G9*100/D9</f>
        <v>99.99712166666667</v>
      </c>
      <c r="I9" s="64"/>
      <c r="J9" s="64">
        <f>3313+47180+20993.05+47380+28390.5+8679+46780+12010.8+47129.5+58050.8+25972+29028.8+99800+84760+40515.28</f>
        <v>599982.73</v>
      </c>
      <c r="K9" s="64">
        <f>M9+N9</f>
        <v>0</v>
      </c>
      <c r="L9" s="64">
        <f>K9*100/D9</f>
        <v>0</v>
      </c>
      <c r="M9" s="64"/>
      <c r="N9" s="64">
        <f>2400+9610.8+29028.8-12010.8-29028.8</f>
        <v>0</v>
      </c>
      <c r="O9" s="64">
        <f>D9-G9-K9</f>
        <v>17.270000000018626</v>
      </c>
      <c r="P9" s="64">
        <f>O9*100/D9</f>
        <v>0.0028783333333364377</v>
      </c>
      <c r="Q9" s="64">
        <f>E9-I9-M9</f>
        <v>0</v>
      </c>
      <c r="R9" s="64">
        <f>F9-J9-N9</f>
        <v>17.270000000018626</v>
      </c>
    </row>
    <row r="10" spans="1:18" ht="16.5" customHeight="1">
      <c r="A10" s="6"/>
      <c r="B10" s="7" t="s">
        <v>24</v>
      </c>
      <c r="C10" s="7"/>
      <c r="D10" s="8"/>
      <c r="E10" s="7"/>
      <c r="F10" s="8"/>
      <c r="G10" s="7"/>
      <c r="H10" s="7"/>
      <c r="I10" s="7"/>
      <c r="J10" s="5"/>
      <c r="K10" s="7"/>
      <c r="L10" s="7"/>
      <c r="M10" s="7"/>
      <c r="N10" s="7"/>
      <c r="O10" s="7"/>
      <c r="P10" s="7"/>
      <c r="Q10" s="7"/>
      <c r="R10" s="7"/>
    </row>
    <row r="11" spans="1:18" ht="16.5" customHeight="1">
      <c r="A11" s="6"/>
      <c r="B11" s="4" t="s">
        <v>29</v>
      </c>
      <c r="C11" s="7"/>
      <c r="D11" s="8"/>
      <c r="E11" s="7"/>
      <c r="F11" s="8"/>
      <c r="G11" s="7"/>
      <c r="H11" s="7"/>
      <c r="I11" s="7"/>
      <c r="J11" s="5"/>
      <c r="K11" s="7"/>
      <c r="L11" s="7"/>
      <c r="M11" s="7"/>
      <c r="N11" s="7"/>
      <c r="O11" s="7"/>
      <c r="P11" s="7"/>
      <c r="Q11" s="7"/>
      <c r="R11" s="7"/>
    </row>
    <row r="12" spans="1:18" ht="16.5" customHeight="1">
      <c r="A12" s="6">
        <v>1.3</v>
      </c>
      <c r="B12" s="7" t="s">
        <v>25</v>
      </c>
      <c r="C12" s="54" t="s">
        <v>20</v>
      </c>
      <c r="D12" s="62">
        <f>F12+E12</f>
        <v>300000</v>
      </c>
      <c r="E12" s="63"/>
      <c r="F12" s="62">
        <v>300000</v>
      </c>
      <c r="G12" s="64">
        <f>I12+J12</f>
        <v>299238.25</v>
      </c>
      <c r="H12" s="64">
        <f>G12*100/D12</f>
        <v>99.74608333333333</v>
      </c>
      <c r="I12" s="64"/>
      <c r="J12" s="64">
        <f>4125+34399.5+99489+3439.95+46371.15+6624.45+21025.2+10458+73306</f>
        <v>299238.25</v>
      </c>
      <c r="K12" s="64">
        <f>M12+N12</f>
        <v>0</v>
      </c>
      <c r="L12" s="64">
        <f>K12*100/D12</f>
        <v>0</v>
      </c>
      <c r="M12" s="64"/>
      <c r="N12" s="64"/>
      <c r="O12" s="64">
        <f>D12-G12-K12</f>
        <v>761.75</v>
      </c>
      <c r="P12" s="64">
        <f>O12*100/D12</f>
        <v>0.2539166666666667</v>
      </c>
      <c r="Q12" s="64">
        <f>E12-I12-M12</f>
        <v>0</v>
      </c>
      <c r="R12" s="64">
        <f>F12-J12-N12</f>
        <v>761.75</v>
      </c>
    </row>
    <row r="13" spans="1:18" ht="16.5" customHeight="1">
      <c r="A13" s="6"/>
      <c r="B13" s="7" t="s">
        <v>12</v>
      </c>
      <c r="C13" s="7"/>
      <c r="D13" s="8"/>
      <c r="E13" s="7"/>
      <c r="F13" s="8"/>
      <c r="G13" s="7"/>
      <c r="H13" s="7"/>
      <c r="I13" s="7"/>
      <c r="J13" s="5"/>
      <c r="K13" s="7"/>
      <c r="L13" s="7"/>
      <c r="M13" s="7"/>
      <c r="N13" s="7"/>
      <c r="O13" s="7"/>
      <c r="P13" s="7"/>
      <c r="Q13" s="7"/>
      <c r="R13" s="7"/>
    </row>
    <row r="14" spans="1:18" ht="18.75" customHeight="1">
      <c r="A14" s="6"/>
      <c r="B14" s="4" t="s">
        <v>28</v>
      </c>
      <c r="C14" s="7"/>
      <c r="D14" s="8"/>
      <c r="E14" s="7"/>
      <c r="F14" s="8"/>
      <c r="G14" s="7"/>
      <c r="H14" s="7"/>
      <c r="I14" s="7"/>
      <c r="J14" s="5"/>
      <c r="K14" s="7"/>
      <c r="L14" s="7"/>
      <c r="M14" s="7"/>
      <c r="N14" s="7"/>
      <c r="O14" s="7"/>
      <c r="P14" s="7"/>
      <c r="Q14" s="7"/>
      <c r="R14" s="7"/>
    </row>
    <row r="15" spans="1:18" ht="18.75" customHeight="1">
      <c r="A15" s="6">
        <v>1.4</v>
      </c>
      <c r="B15" s="7" t="s">
        <v>26</v>
      </c>
      <c r="C15" s="54" t="s">
        <v>20</v>
      </c>
      <c r="D15" s="62">
        <f>F15+E15</f>
        <v>970000</v>
      </c>
      <c r="E15" s="63"/>
      <c r="F15" s="62">
        <v>970000</v>
      </c>
      <c r="G15" s="64">
        <f>I15+J15</f>
        <v>969879.54</v>
      </c>
      <c r="H15" s="64">
        <f>G15*100/D15</f>
        <v>99.98758144329896</v>
      </c>
      <c r="I15" s="64"/>
      <c r="J15" s="64">
        <f>77516.1+136351.2+44821+3439.95+5043+108249.3+6624.45+12045+257128.81+114000+29100+16279+43538.1+10633+3750.4+8000.9+84735+8624.33</f>
        <v>969879.54</v>
      </c>
      <c r="K15" s="64">
        <f>M15+N15</f>
        <v>-2.7000623958883807E-13</v>
      </c>
      <c r="L15" s="64">
        <f>K15*100/D15</f>
        <v>-2.7835694802972995E-17</v>
      </c>
      <c r="M15" s="64"/>
      <c r="N15" s="64">
        <f>6000+3000+7000-12045-97.3-3750.4-45.5-61.8</f>
        <v>-2.7000623958883807E-13</v>
      </c>
      <c r="O15" s="64">
        <f>D15-G15-K15</f>
        <v>120.45999999996302</v>
      </c>
      <c r="P15" s="64">
        <f>O15*100/D15</f>
        <v>0.012418556701027116</v>
      </c>
      <c r="Q15" s="64">
        <f>E15-I15-M15</f>
        <v>0</v>
      </c>
      <c r="R15" s="64">
        <f>F15-J15-N15</f>
        <v>120.45999999996302</v>
      </c>
    </row>
    <row r="16" spans="1:18" ht="18.75" customHeight="1">
      <c r="A16" s="6"/>
      <c r="B16" s="4" t="s">
        <v>32</v>
      </c>
      <c r="C16" s="54"/>
      <c r="D16" s="62"/>
      <c r="E16" s="63"/>
      <c r="F16" s="62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ht="16.5" customHeight="1">
      <c r="A17" s="6">
        <v>1.5</v>
      </c>
      <c r="B17" s="7" t="s">
        <v>27</v>
      </c>
      <c r="C17" s="54" t="s">
        <v>20</v>
      </c>
      <c r="D17" s="62">
        <f>F17+E17</f>
        <v>980000</v>
      </c>
      <c r="E17" s="63">
        <v>952000</v>
      </c>
      <c r="F17" s="62">
        <v>28000</v>
      </c>
      <c r="G17" s="64">
        <f>I17+J17</f>
        <v>937100.74</v>
      </c>
      <c r="H17" s="64">
        <f>G17*100/D17</f>
        <v>95.62252448979592</v>
      </c>
      <c r="I17" s="64">
        <f>910022.74</f>
        <v>910022.74</v>
      </c>
      <c r="J17" s="64">
        <f>8680+4538+13860</f>
        <v>27078</v>
      </c>
      <c r="K17" s="64">
        <f>M17+N17</f>
        <v>0</v>
      </c>
      <c r="L17" s="76">
        <f>K17*100/D17</f>
        <v>0</v>
      </c>
      <c r="M17" s="64"/>
      <c r="N17" s="64">
        <f>20020+2520-8680-13860</f>
        <v>0</v>
      </c>
      <c r="O17" s="64">
        <f>D17-G17-K17</f>
        <v>42899.26000000001</v>
      </c>
      <c r="P17" s="64">
        <f>O17*100/D17</f>
        <v>4.377475510204083</v>
      </c>
      <c r="Q17" s="64">
        <f>E17-I17-M17</f>
        <v>41977.26000000001</v>
      </c>
      <c r="R17" s="64">
        <f>F17-J17-N17</f>
        <v>922</v>
      </c>
    </row>
    <row r="18" spans="1:18" ht="18" customHeight="1">
      <c r="A18" s="6"/>
      <c r="B18" s="4" t="s">
        <v>69</v>
      </c>
      <c r="C18" s="54"/>
      <c r="D18" s="62"/>
      <c r="E18" s="63"/>
      <c r="F18" s="62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6.5" customHeight="1">
      <c r="A19" s="6">
        <v>1.6</v>
      </c>
      <c r="B19" s="19" t="s">
        <v>33</v>
      </c>
      <c r="C19" s="54" t="s">
        <v>64</v>
      </c>
      <c r="D19" s="62">
        <f>F19+E19</f>
        <v>100000</v>
      </c>
      <c r="E19" s="63"/>
      <c r="F19" s="62">
        <v>100000</v>
      </c>
      <c r="G19" s="64">
        <f>I19+J19</f>
        <v>99843.59999999999</v>
      </c>
      <c r="H19" s="64">
        <f>G19*100/D19</f>
        <v>99.8436</v>
      </c>
      <c r="I19" s="64"/>
      <c r="J19" s="64">
        <f>3439.95+37223.1+9779+9894.55+4160+720+19850+14777</f>
        <v>99843.59999999999</v>
      </c>
      <c r="K19" s="64">
        <f>M19+N19</f>
        <v>0</v>
      </c>
      <c r="L19" s="64">
        <f>K19*100/D19</f>
        <v>0</v>
      </c>
      <c r="M19" s="64"/>
      <c r="N19" s="64"/>
      <c r="O19" s="64">
        <f>D19-G19-K19</f>
        <v>156.40000000000873</v>
      </c>
      <c r="P19" s="64">
        <f>O19*100/D19</f>
        <v>0.15640000000000873</v>
      </c>
      <c r="Q19" s="64">
        <f>E19-I19-M19</f>
        <v>0</v>
      </c>
      <c r="R19" s="64">
        <f>F19-J19-N19</f>
        <v>156.40000000000873</v>
      </c>
    </row>
    <row r="20" spans="1:18" ht="16.5" customHeight="1">
      <c r="A20" s="6"/>
      <c r="B20" s="19" t="s">
        <v>56</v>
      </c>
      <c r="C20" s="54"/>
      <c r="D20" s="62"/>
      <c r="E20" s="63"/>
      <c r="F20" s="62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8.75" customHeight="1">
      <c r="A21" s="6"/>
      <c r="B21" s="4" t="s">
        <v>68</v>
      </c>
      <c r="C21" s="54"/>
      <c r="D21" s="62"/>
      <c r="E21" s="63"/>
      <c r="F21" s="62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16.5" customHeight="1">
      <c r="A22" s="6">
        <v>1.7</v>
      </c>
      <c r="B22" s="19" t="s">
        <v>34</v>
      </c>
      <c r="C22" s="54" t="s">
        <v>64</v>
      </c>
      <c r="D22" s="62">
        <f>F22+E22</f>
        <v>600000</v>
      </c>
      <c r="E22" s="63"/>
      <c r="F22" s="62">
        <v>600000</v>
      </c>
      <c r="G22" s="64">
        <f>I22+J22</f>
        <v>599584.8200000001</v>
      </c>
      <c r="H22" s="64">
        <f>G22*100/D22</f>
        <v>99.93080333333334</v>
      </c>
      <c r="I22" s="64"/>
      <c r="J22" s="64">
        <f>70770+30959.55+11881+7658.52+19937+183792+90063+33803.1+13500+12098.6+17150+29120+8450+31659.65+3750.4+16362+18630</f>
        <v>599584.8200000001</v>
      </c>
      <c r="K22" s="64">
        <f>M22+N22</f>
        <v>-1.1795009413617663E-12</v>
      </c>
      <c r="L22" s="64">
        <f>K22*100/D22</f>
        <v>-1.9658349022696105E-16</v>
      </c>
      <c r="M22" s="64"/>
      <c r="N22" s="64">
        <f>8910.8+7000-12098.6-3750.4-61.8</f>
        <v>-1.1795009413617663E-12</v>
      </c>
      <c r="O22" s="64">
        <f>D22-G22-K22</f>
        <v>415.179999999936</v>
      </c>
      <c r="P22" s="64">
        <f>O22*100/D22</f>
        <v>0.069196666666656</v>
      </c>
      <c r="Q22" s="64">
        <f>E22-I22-M22</f>
        <v>0</v>
      </c>
      <c r="R22" s="64">
        <f>F22-J22-N22</f>
        <v>415.179999999936</v>
      </c>
    </row>
    <row r="23" spans="1:18" ht="16.5" customHeight="1">
      <c r="A23" s="6"/>
      <c r="B23" s="19" t="s">
        <v>57</v>
      </c>
      <c r="C23" s="54"/>
      <c r="D23" s="62"/>
      <c r="E23" s="63"/>
      <c r="F23" s="62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18" ht="18" customHeight="1">
      <c r="A24" s="6"/>
      <c r="B24" s="4" t="s">
        <v>70</v>
      </c>
      <c r="C24" s="54"/>
      <c r="D24" s="62"/>
      <c r="E24" s="63"/>
      <c r="F24" s="62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 ht="16.5" customHeight="1">
      <c r="A25" s="6">
        <v>1.8</v>
      </c>
      <c r="B25" s="19" t="s">
        <v>35</v>
      </c>
      <c r="C25" s="54" t="s">
        <v>64</v>
      </c>
      <c r="D25" s="62">
        <f>F25+E25</f>
        <v>500000</v>
      </c>
      <c r="E25" s="63"/>
      <c r="F25" s="62">
        <v>500000</v>
      </c>
      <c r="G25" s="64">
        <f>I25+J25</f>
        <v>499193.56</v>
      </c>
      <c r="H25" s="64">
        <f>G25*100/D25</f>
        <v>99.838712</v>
      </c>
      <c r="I25" s="64"/>
      <c r="J25" s="64">
        <f>24079.65+67389.56+59628+79959+59620.05+53388+40443.2+25959+6900+65307.15+7256.35+5103.6+4160</f>
        <v>499193.56</v>
      </c>
      <c r="K25" s="64">
        <f>M25+N25</f>
        <v>1.0913492332065289E-12</v>
      </c>
      <c r="L25" s="64">
        <f>K25*100/D25</f>
        <v>2.1826984664130577E-16</v>
      </c>
      <c r="M25" s="64"/>
      <c r="N25" s="64">
        <f>2400+39243.2+3905.4-40443.2-5103.6-1.8</f>
        <v>1.0913492332065289E-12</v>
      </c>
      <c r="O25" s="64">
        <f>D25-G25-K25</f>
        <v>806.4400000000012</v>
      </c>
      <c r="P25" s="64">
        <f>O25*100/D25</f>
        <v>0.16128800000000024</v>
      </c>
      <c r="Q25" s="64">
        <f>E25-I25-M25</f>
        <v>0</v>
      </c>
      <c r="R25" s="64">
        <f>F25-J25-N25</f>
        <v>806.4400000000012</v>
      </c>
    </row>
    <row r="26" spans="1:18" ht="16.5" customHeight="1">
      <c r="A26" s="6"/>
      <c r="B26" s="19" t="s">
        <v>57</v>
      </c>
      <c r="C26" s="54"/>
      <c r="D26" s="62"/>
      <c r="E26" s="63"/>
      <c r="F26" s="62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1:18" ht="18" customHeight="1">
      <c r="A27" s="6"/>
      <c r="B27" s="4" t="s">
        <v>71</v>
      </c>
      <c r="C27" s="54"/>
      <c r="D27" s="62"/>
      <c r="E27" s="63"/>
      <c r="F27" s="62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6.5" customHeight="1">
      <c r="A28" s="6">
        <v>1.9</v>
      </c>
      <c r="B28" s="19" t="s">
        <v>58</v>
      </c>
      <c r="C28" s="54" t="s">
        <v>64</v>
      </c>
      <c r="D28" s="62">
        <f>F28+E28</f>
        <v>245000</v>
      </c>
      <c r="E28" s="63"/>
      <c r="F28" s="62">
        <v>245000</v>
      </c>
      <c r="G28" s="64">
        <f>I28+J28</f>
        <v>244229.43</v>
      </c>
      <c r="H28" s="64">
        <f>G28*100/D28</f>
        <v>99.68548163265307</v>
      </c>
      <c r="I28" s="64"/>
      <c r="J28" s="64">
        <f>27519.6+51480.63+46371.15+82460+1200+21769.05+7240+3610+2579</f>
        <v>244229.43</v>
      </c>
      <c r="K28" s="64">
        <f>M28+N28</f>
        <v>0</v>
      </c>
      <c r="L28" s="64">
        <f>K28*100/D28</f>
        <v>0</v>
      </c>
      <c r="M28" s="64"/>
      <c r="N28" s="64"/>
      <c r="O28" s="64">
        <f>D28-G28-K28</f>
        <v>770.570000000007</v>
      </c>
      <c r="P28" s="64">
        <f>O28*100/D28</f>
        <v>0.3145183673469416</v>
      </c>
      <c r="Q28" s="64">
        <f>E28-I28-M28</f>
        <v>0</v>
      </c>
      <c r="R28" s="64">
        <f>F28-J28-N28</f>
        <v>770.570000000007</v>
      </c>
    </row>
    <row r="29" spans="1:18" ht="16.5" customHeight="1">
      <c r="A29" s="6"/>
      <c r="B29" s="19" t="s">
        <v>59</v>
      </c>
      <c r="C29" s="67"/>
      <c r="D29" s="68"/>
      <c r="E29" s="69"/>
      <c r="F29" s="68"/>
      <c r="G29" s="70"/>
      <c r="H29" s="57"/>
      <c r="I29" s="70"/>
      <c r="J29" s="70"/>
      <c r="K29" s="70"/>
      <c r="L29" s="70"/>
      <c r="M29" s="70"/>
      <c r="N29" s="70"/>
      <c r="O29" s="57"/>
      <c r="P29" s="57"/>
      <c r="Q29" s="70"/>
      <c r="R29" s="70"/>
    </row>
    <row r="30" spans="1:18" ht="19.5" customHeight="1">
      <c r="A30" s="6"/>
      <c r="B30" s="21" t="s">
        <v>37</v>
      </c>
      <c r="C30" s="40"/>
      <c r="D30" s="41">
        <f>F30+E30</f>
        <v>5245000</v>
      </c>
      <c r="E30" s="42">
        <f>E17</f>
        <v>952000</v>
      </c>
      <c r="F30" s="41">
        <f>F7+F9+F12+F15+F17+F19+F22+F25+F28</f>
        <v>4293000</v>
      </c>
      <c r="G30" s="43">
        <f>J30+I30</f>
        <v>5198827.8100000005</v>
      </c>
      <c r="H30" s="50">
        <f>G30*100/D30</f>
        <v>99.11969132507151</v>
      </c>
      <c r="I30" s="43">
        <f>I17</f>
        <v>910022.74</v>
      </c>
      <c r="J30" s="44">
        <f>J7+J9+J12+J15+J17+J19+J22+J25+J28</f>
        <v>4288805.07</v>
      </c>
      <c r="K30" s="43">
        <f>N30+M30</f>
        <v>-3.581579477440755E-13</v>
      </c>
      <c r="L30" s="45"/>
      <c r="M30" s="43">
        <f>M17</f>
        <v>0</v>
      </c>
      <c r="N30" s="43">
        <f>N7+N9+N12+N15+N17+N19+N22+N25+N28</f>
        <v>-3.581579477440755E-13</v>
      </c>
      <c r="O30" s="39">
        <f>D30-G30-K30</f>
        <v>46172.18999999948</v>
      </c>
      <c r="P30" s="39">
        <f>O30*100/D30</f>
        <v>0.8803086749284934</v>
      </c>
      <c r="Q30" s="43">
        <f>Q18+Q22+Q27</f>
        <v>0</v>
      </c>
      <c r="R30" s="43">
        <f>R7+R9+R12+R15+R17+R19+R22+R25+R28</f>
        <v>4194.92999999992</v>
      </c>
    </row>
    <row r="31" spans="1:18" ht="16.5" customHeight="1">
      <c r="A31" s="6"/>
      <c r="B31" s="4" t="s">
        <v>72</v>
      </c>
      <c r="C31" s="54"/>
      <c r="D31" s="55"/>
      <c r="E31" s="56"/>
      <c r="F31" s="55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ht="16.5" customHeight="1">
      <c r="A32" s="58" t="s">
        <v>40</v>
      </c>
      <c r="B32" s="19" t="s">
        <v>42</v>
      </c>
      <c r="C32" s="54" t="s">
        <v>64</v>
      </c>
      <c r="D32" s="62">
        <f>F32+E32</f>
        <v>700000</v>
      </c>
      <c r="E32" s="63"/>
      <c r="F32" s="62">
        <v>700000</v>
      </c>
      <c r="G32" s="64">
        <f>I32+J32</f>
        <v>699704.11</v>
      </c>
      <c r="H32" s="64">
        <f>G32*100/D32</f>
        <v>99.95773</v>
      </c>
      <c r="I32" s="64"/>
      <c r="J32" s="64">
        <f>34399.5+96360+112615.65+13248.9+124922.4+15989.01+136923.3+134837.7+30407.65</f>
        <v>699704.11</v>
      </c>
      <c r="K32" s="64">
        <f>M32+N32</f>
        <v>-1.745092959026806E-11</v>
      </c>
      <c r="L32" s="64">
        <f>K32*100/D32</f>
        <v>-2.492989941466866E-15</v>
      </c>
      <c r="M32" s="64"/>
      <c r="N32" s="64">
        <f>255244.8+4800-124922.4-134837.7-284.7</f>
        <v>-1.745092959026806E-11</v>
      </c>
      <c r="O32" s="64">
        <f>D32-G32-K32</f>
        <v>295.8900000000314</v>
      </c>
      <c r="P32" s="64">
        <f>O32*100/D32</f>
        <v>0.04227000000000449</v>
      </c>
      <c r="Q32" s="64">
        <f>E32-I32-M32</f>
        <v>0</v>
      </c>
      <c r="R32" s="64">
        <f>F32-J32-N32</f>
        <v>295.8900000000314</v>
      </c>
    </row>
    <row r="33" spans="1:18" ht="16.5" customHeight="1">
      <c r="A33" s="6"/>
      <c r="B33" s="7" t="s">
        <v>60</v>
      </c>
      <c r="C33" s="7"/>
      <c r="D33" s="8"/>
      <c r="E33" s="7"/>
      <c r="F33" s="8"/>
      <c r="G33" s="7"/>
      <c r="H33" s="7"/>
      <c r="I33" s="7"/>
      <c r="J33" s="5"/>
      <c r="K33" s="7"/>
      <c r="L33" s="7"/>
      <c r="M33" s="7"/>
      <c r="N33" s="7"/>
      <c r="O33" s="7"/>
      <c r="P33" s="7"/>
      <c r="Q33" s="7"/>
      <c r="R33" s="7"/>
    </row>
    <row r="34" spans="1:18" ht="16.5" customHeight="1">
      <c r="A34" s="16"/>
      <c r="B34" s="15" t="s">
        <v>61</v>
      </c>
      <c r="C34" s="15"/>
      <c r="D34" s="65"/>
      <c r="E34" s="15"/>
      <c r="F34" s="65"/>
      <c r="G34" s="15"/>
      <c r="H34" s="15"/>
      <c r="I34" s="15"/>
      <c r="J34" s="66"/>
      <c r="K34" s="15"/>
      <c r="L34" s="15"/>
      <c r="M34" s="15"/>
      <c r="N34" s="15"/>
      <c r="O34" s="15"/>
      <c r="P34" s="15"/>
      <c r="Q34" s="15"/>
      <c r="R34" s="15"/>
    </row>
    <row r="35" spans="1:19" ht="16.5" customHeight="1">
      <c r="A35" s="20"/>
      <c r="B35" s="18" t="s">
        <v>73</v>
      </c>
      <c r="C35" s="71"/>
      <c r="D35" s="72"/>
      <c r="E35" s="73"/>
      <c r="F35" s="72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1">
        <v>2</v>
      </c>
    </row>
    <row r="36" spans="1:18" ht="16.5" customHeight="1">
      <c r="A36" s="58" t="s">
        <v>43</v>
      </c>
      <c r="B36" s="19" t="s">
        <v>44</v>
      </c>
      <c r="C36" s="54" t="s">
        <v>64</v>
      </c>
      <c r="D36" s="62">
        <f>F36+E36</f>
        <v>400000</v>
      </c>
      <c r="E36" s="63"/>
      <c r="F36" s="62">
        <v>400000</v>
      </c>
      <c r="G36" s="64">
        <f>I36+J36</f>
        <v>399719.85000000003</v>
      </c>
      <c r="H36" s="64">
        <f>G36*100/D36</f>
        <v>99.9299625</v>
      </c>
      <c r="I36" s="64"/>
      <c r="J36" s="64">
        <f>10319.85+26600+66925.35+62045.4+73308.05+73272.4+55524.39+12010+1779.41+17935</f>
        <v>399719.85000000003</v>
      </c>
      <c r="K36" s="64">
        <f>M36+N36</f>
        <v>5.8122395785176195E-12</v>
      </c>
      <c r="L36" s="64">
        <f>K36*100/D36</f>
        <v>1.4530598946294048E-15</v>
      </c>
      <c r="M36" s="64"/>
      <c r="N36" s="64">
        <f>120115.2+7000+1200+7207.2-62045.4-73272.4-142.8-61.8</f>
        <v>5.8122395785176195E-12</v>
      </c>
      <c r="O36" s="64">
        <f>D36-G36-K36</f>
        <v>280.1499999999593</v>
      </c>
      <c r="P36" s="64">
        <f>O36*100/D36</f>
        <v>0.07003749999998982</v>
      </c>
      <c r="Q36" s="64">
        <f>E36-I36-M36</f>
        <v>0</v>
      </c>
      <c r="R36" s="64">
        <f>F36-J36-N36</f>
        <v>280.1499999999593</v>
      </c>
    </row>
    <row r="37" spans="1:18" ht="16.5" customHeight="1">
      <c r="A37" s="58"/>
      <c r="B37" s="19" t="s">
        <v>56</v>
      </c>
      <c r="C37" s="54"/>
      <c r="D37" s="62"/>
      <c r="E37" s="63"/>
      <c r="F37" s="62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1:18" ht="18.75" customHeight="1">
      <c r="A38" s="6"/>
      <c r="B38" s="4" t="s">
        <v>74</v>
      </c>
      <c r="C38" s="54"/>
      <c r="D38" s="62"/>
      <c r="E38" s="63"/>
      <c r="F38" s="62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1:18" ht="16.5" customHeight="1">
      <c r="A39" s="58" t="s">
        <v>38</v>
      </c>
      <c r="B39" s="19" t="s">
        <v>36</v>
      </c>
      <c r="C39" s="54" t="s">
        <v>64</v>
      </c>
      <c r="D39" s="62">
        <f>F39+E39</f>
        <v>200000</v>
      </c>
      <c r="E39" s="63"/>
      <c r="F39" s="62">
        <v>200000</v>
      </c>
      <c r="G39" s="64">
        <f>I39+J39</f>
        <v>199990.13999999998</v>
      </c>
      <c r="H39" s="76">
        <f>G39*100/D39</f>
        <v>99.99507</v>
      </c>
      <c r="I39" s="64"/>
      <c r="J39" s="64">
        <f>8056+9813.44+44719.35+1644+72868.95+47219.4+11909+3760</f>
        <v>199990.13999999998</v>
      </c>
      <c r="K39" s="64">
        <f>M39+N39</f>
        <v>-7.275957614183426E-12</v>
      </c>
      <c r="L39" s="64">
        <f>K39*100/D39</f>
        <v>-3.637978807091713E-15</v>
      </c>
      <c r="M39" s="64"/>
      <c r="N39" s="64">
        <f>10080+40861.2-2520+2520-1201.8+1240-47219.4-3760</f>
        <v>-7.275957614183426E-12</v>
      </c>
      <c r="O39" s="64">
        <f>D39-G39-K39</f>
        <v>9.86000000002241</v>
      </c>
      <c r="P39" s="64">
        <f>O39*100/D39</f>
        <v>0.004930000000011205</v>
      </c>
      <c r="Q39" s="64">
        <f>E39-I39-M39</f>
        <v>0</v>
      </c>
      <c r="R39" s="64">
        <f>F39-J39-N39</f>
        <v>9.86000000002241</v>
      </c>
    </row>
    <row r="40" spans="1:18" ht="16.5" customHeight="1">
      <c r="A40" s="58"/>
      <c r="B40" s="19" t="s">
        <v>62</v>
      </c>
      <c r="C40" s="54"/>
      <c r="D40" s="62"/>
      <c r="E40" s="63"/>
      <c r="F40" s="62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1:18" ht="18.75" customHeight="1">
      <c r="A41" s="6"/>
      <c r="B41" s="4" t="s">
        <v>75</v>
      </c>
      <c r="C41" s="54"/>
      <c r="D41" s="62"/>
      <c r="E41" s="63"/>
      <c r="F41" s="62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ht="16.5" customHeight="1">
      <c r="A42" s="58" t="s">
        <v>39</v>
      </c>
      <c r="B42" s="19" t="s">
        <v>41</v>
      </c>
      <c r="C42" s="54" t="s">
        <v>64</v>
      </c>
      <c r="D42" s="62">
        <f>F42+E42</f>
        <v>300000</v>
      </c>
      <c r="E42" s="63"/>
      <c r="F42" s="62">
        <v>300000</v>
      </c>
      <c r="G42" s="64">
        <f>I42+J42</f>
        <v>299796.82</v>
      </c>
      <c r="H42" s="64">
        <f>G42*100/D42</f>
        <v>99.93227333333333</v>
      </c>
      <c r="I42" s="64"/>
      <c r="J42" s="64">
        <f>19650.47+55640.1+3288+12347+105991.2+60150.2+21769.05+20960.8</f>
        <v>299796.82</v>
      </c>
      <c r="K42" s="64">
        <f>M42+N42</f>
        <v>0</v>
      </c>
      <c r="L42" s="64">
        <f>K42*100/D42</f>
        <v>0</v>
      </c>
      <c r="M42" s="64"/>
      <c r="N42" s="64">
        <f>46870.2+13440+9610.8+11350-160-60150.2-20960.8</f>
        <v>0</v>
      </c>
      <c r="O42" s="64">
        <f>D42-G42-K42</f>
        <v>203.17999999999302</v>
      </c>
      <c r="P42" s="64">
        <f>O42*100/D42</f>
        <v>0.06772666666666434</v>
      </c>
      <c r="Q42" s="64">
        <f>E42-I42-M42</f>
        <v>0</v>
      </c>
      <c r="R42" s="64">
        <f>F42-J42-N42</f>
        <v>203.17999999999302</v>
      </c>
    </row>
    <row r="43" spans="1:18" ht="16.5" customHeight="1">
      <c r="A43" s="58"/>
      <c r="B43" s="19" t="s">
        <v>63</v>
      </c>
      <c r="C43" s="54"/>
      <c r="D43" s="55"/>
      <c r="E43" s="56"/>
      <c r="F43" s="55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9.5" customHeight="1">
      <c r="A44" s="6"/>
      <c r="B44" s="21" t="s">
        <v>45</v>
      </c>
      <c r="C44" s="40"/>
      <c r="D44" s="41">
        <f>F44+E44</f>
        <v>1600000</v>
      </c>
      <c r="E44" s="42"/>
      <c r="F44" s="41">
        <f>SUM(F32:F43)</f>
        <v>1600000</v>
      </c>
      <c r="G44" s="43">
        <f>J44+I44</f>
        <v>1599210.92</v>
      </c>
      <c r="H44" s="50">
        <f>G44*100/D44</f>
        <v>99.9506825</v>
      </c>
      <c r="I44" s="43">
        <f>I32+I36+I39+I42</f>
        <v>0</v>
      </c>
      <c r="J44" s="44">
        <f>J32+J36+J39+J42</f>
        <v>1599210.92</v>
      </c>
      <c r="K44" s="43">
        <f>N44+M44</f>
        <v>-1.8914647625933867E-11</v>
      </c>
      <c r="L44" s="45"/>
      <c r="M44" s="43">
        <f>M32+M36+M39+M42</f>
        <v>0</v>
      </c>
      <c r="N44" s="43">
        <f>N32+N36+N39+N42</f>
        <v>-1.8914647625933867E-11</v>
      </c>
      <c r="O44" s="39">
        <f>D44-G44-K44</f>
        <v>789.0800000000934</v>
      </c>
      <c r="P44" s="39">
        <f>O44*100/D44</f>
        <v>0.049317500000005836</v>
      </c>
      <c r="Q44" s="43">
        <f>Q32+Q36+Q39+Q42</f>
        <v>0</v>
      </c>
      <c r="R44" s="43">
        <f>R32+R36+R39+R42</f>
        <v>789.0800000000061</v>
      </c>
    </row>
    <row r="45" spans="1:18" ht="16.5" customHeight="1">
      <c r="A45" s="6"/>
      <c r="B45" s="7"/>
      <c r="C45" s="7"/>
      <c r="D45" s="8"/>
      <c r="E45" s="7"/>
      <c r="F45" s="8"/>
      <c r="G45" s="7"/>
      <c r="H45" s="7"/>
      <c r="I45" s="7"/>
      <c r="J45" s="5"/>
      <c r="K45" s="7"/>
      <c r="L45" s="7"/>
      <c r="M45" s="7"/>
      <c r="N45" s="7"/>
      <c r="O45" s="7"/>
      <c r="P45" s="7"/>
      <c r="Q45" s="7"/>
      <c r="R45" s="7"/>
    </row>
    <row r="46" spans="1:18" ht="17.25" customHeight="1">
      <c r="A46" s="16"/>
      <c r="B46" s="15"/>
      <c r="C46" s="51"/>
      <c r="D46" s="32"/>
      <c r="E46" s="33"/>
      <c r="F46" s="32"/>
      <c r="G46" s="34"/>
      <c r="H46" s="35"/>
      <c r="I46" s="34"/>
      <c r="J46" s="35"/>
      <c r="K46" s="34"/>
      <c r="L46" s="35"/>
      <c r="M46" s="34"/>
      <c r="N46" s="34"/>
      <c r="O46" s="34"/>
      <c r="P46" s="35"/>
      <c r="Q46" s="34"/>
      <c r="R46" s="34"/>
    </row>
    <row r="48" spans="1:2" ht="21">
      <c r="A48" s="47" t="s">
        <v>77</v>
      </c>
      <c r="B48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G95" sqref="G95"/>
    </sheetView>
  </sheetViews>
  <sheetFormatPr defaultColWidth="9.140625" defaultRowHeight="12.75"/>
  <cols>
    <col min="1" max="1" width="4.28125" style="77" customWidth="1"/>
    <col min="2" max="2" width="33.8515625" style="77" customWidth="1"/>
    <col min="3" max="3" width="6.8515625" style="77" customWidth="1"/>
    <col min="4" max="4" width="10.421875" style="77" customWidth="1"/>
    <col min="5" max="5" width="8.7109375" style="77" customWidth="1"/>
    <col min="6" max="6" width="10.140625" style="77" customWidth="1"/>
    <col min="7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8515625" style="77" customWidth="1"/>
    <col min="19" max="16384" width="9.140625" style="77" customWidth="1"/>
  </cols>
  <sheetData>
    <row r="1" spans="1:18" ht="15.75">
      <c r="A1" s="207" t="s">
        <v>204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ht="15.75" customHeight="1">
      <c r="A2" s="208" t="s">
        <v>0</v>
      </c>
      <c r="B2" s="208" t="s">
        <v>1</v>
      </c>
      <c r="C2" s="209" t="s">
        <v>2</v>
      </c>
      <c r="D2" s="210" t="s">
        <v>3</v>
      </c>
      <c r="E2" s="210"/>
      <c r="F2" s="210"/>
      <c r="G2" s="210" t="s">
        <v>7</v>
      </c>
      <c r="H2" s="210"/>
      <c r="I2" s="210"/>
      <c r="J2" s="210"/>
      <c r="K2" s="210" t="s">
        <v>9</v>
      </c>
      <c r="L2" s="210"/>
      <c r="M2" s="210"/>
      <c r="N2" s="210"/>
      <c r="O2" s="210" t="s">
        <v>10</v>
      </c>
      <c r="P2" s="210"/>
      <c r="Q2" s="210"/>
      <c r="R2" s="210"/>
    </row>
    <row r="3" spans="1:18" ht="14.25" customHeight="1">
      <c r="A3" s="208"/>
      <c r="B3" s="208"/>
      <c r="C3" s="209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21.75" customHeight="1">
      <c r="A4" s="79"/>
      <c r="B4" s="80" t="s">
        <v>200</v>
      </c>
      <c r="C4" s="81"/>
      <c r="D4" s="190">
        <f>E4+F4</f>
        <v>134291100</v>
      </c>
      <c r="E4" s="113">
        <f>SUM(E61+E98+E104+E118)</f>
        <v>2896900</v>
      </c>
      <c r="F4" s="113">
        <f>SUM(F61+F98+F104+F118)</f>
        <v>131394200</v>
      </c>
      <c r="G4" s="115">
        <f>I4+J4</f>
        <v>13365831.090000002</v>
      </c>
      <c r="H4" s="115">
        <f>G4*100/D4</f>
        <v>9.95287929728776</v>
      </c>
      <c r="I4" s="113">
        <f>SUM(I61+I98+I104+I118)</f>
        <v>0</v>
      </c>
      <c r="J4" s="113">
        <f>SUM(J61+J98+J104+J118)</f>
        <v>13365831.090000002</v>
      </c>
      <c r="K4" s="115">
        <f>M4+N4</f>
        <v>17243947.919999998</v>
      </c>
      <c r="L4" s="115">
        <f>K4*100/D4</f>
        <v>12.8407228178189</v>
      </c>
      <c r="M4" s="113">
        <f>SUM(M61+M98+M104+M118)</f>
        <v>0</v>
      </c>
      <c r="N4" s="113">
        <f>SUM(N61+N98+N104+N118)</f>
        <v>17243947.919999998</v>
      </c>
      <c r="O4" s="113">
        <f>Q4+R4</f>
        <v>103681320.99000001</v>
      </c>
      <c r="P4" s="113">
        <f>O4*100/D4</f>
        <v>77.20639788489333</v>
      </c>
      <c r="Q4" s="113">
        <f>SUM(Q61+Q98+Q104+Q118)</f>
        <v>2896900</v>
      </c>
      <c r="R4" s="113">
        <f>SUM(R61+R98+R104+R118)</f>
        <v>100784420.99000001</v>
      </c>
    </row>
    <row r="5" spans="1:18" ht="21.75" customHeight="1">
      <c r="A5" s="157">
        <v>1</v>
      </c>
      <c r="B5" s="120" t="s">
        <v>189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8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16590</v>
      </c>
      <c r="H7" s="99">
        <f>G7*100/D7</f>
        <v>4.1475</v>
      </c>
      <c r="I7" s="91"/>
      <c r="J7" s="92">
        <f>16590</f>
        <v>16590</v>
      </c>
      <c r="K7" s="91">
        <f>N7+M7</f>
        <v>0</v>
      </c>
      <c r="L7" s="116">
        <f>K7*100/D7</f>
        <v>0</v>
      </c>
      <c r="M7" s="91"/>
      <c r="N7" s="91"/>
      <c r="O7" s="91">
        <f>D7-G7-K7</f>
        <v>383410</v>
      </c>
      <c r="P7" s="92">
        <f>O7*100/D7</f>
        <v>95.8525</v>
      </c>
      <c r="Q7" s="91">
        <f>E7-I7-M7</f>
        <v>0</v>
      </c>
      <c r="R7" s="92">
        <f>F7-J7-N7</f>
        <v>383410</v>
      </c>
    </row>
    <row r="8" spans="1:18" s="112" customFormat="1" ht="18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8" customHeight="1">
      <c r="A9" s="100"/>
      <c r="B9" s="86" t="s">
        <v>202</v>
      </c>
      <c r="C9" s="107"/>
      <c r="D9" s="108"/>
      <c r="E9" s="109"/>
      <c r="F9" s="108"/>
      <c r="G9" s="110"/>
      <c r="H9" s="99"/>
      <c r="I9" s="110"/>
      <c r="J9" s="111"/>
      <c r="K9" s="110"/>
      <c r="L9" s="111"/>
      <c r="M9" s="110"/>
      <c r="N9" s="110"/>
      <c r="O9" s="111"/>
      <c r="P9" s="111"/>
      <c r="Q9" s="110"/>
      <c r="R9" s="111"/>
    </row>
    <row r="10" spans="1:18" s="112" customFormat="1" ht="15.75" customHeight="1">
      <c r="A10" s="100">
        <v>1.2</v>
      </c>
      <c r="B10" s="87" t="s">
        <v>158</v>
      </c>
      <c r="C10" s="88" t="s">
        <v>157</v>
      </c>
      <c r="D10" s="89">
        <f>F10+E10</f>
        <v>4966100</v>
      </c>
      <c r="E10" s="90"/>
      <c r="F10" s="89">
        <v>4966100</v>
      </c>
      <c r="G10" s="92">
        <f>J10+I10</f>
        <v>715622.3500000001</v>
      </c>
      <c r="H10" s="99">
        <f>G10*100/D10</f>
        <v>14.410147802098228</v>
      </c>
      <c r="I10" s="91"/>
      <c r="J10" s="92">
        <f>264457.9+145758.9+272283.3+19873.35+13248.9</f>
        <v>715622.3500000001</v>
      </c>
      <c r="K10" s="91">
        <f>N10+M10</f>
        <v>184089.5</v>
      </c>
      <c r="L10" s="116">
        <f>K10*100/D10</f>
        <v>3.706922937516361</v>
      </c>
      <c r="M10" s="91"/>
      <c r="N10" s="91">
        <f>66067.5+55000+63022</f>
        <v>184089.5</v>
      </c>
      <c r="O10" s="91">
        <f>D10-G10-K10</f>
        <v>4066388.1500000004</v>
      </c>
      <c r="P10" s="92">
        <f>O10*100/D10</f>
        <v>81.88292926038542</v>
      </c>
      <c r="Q10" s="91">
        <f>E10-I10-M10</f>
        <v>0</v>
      </c>
      <c r="R10" s="92">
        <f>F10-J10-N10</f>
        <v>4066388.1500000004</v>
      </c>
    </row>
    <row r="11" spans="1:18" s="112" customFormat="1" ht="15.75" customHeight="1">
      <c r="A11" s="100"/>
      <c r="B11" s="87" t="s">
        <v>159</v>
      </c>
      <c r="C11" s="107"/>
      <c r="D11" s="108"/>
      <c r="E11" s="109"/>
      <c r="F11" s="108"/>
      <c r="G11" s="110"/>
      <c r="H11" s="99"/>
      <c r="I11" s="110"/>
      <c r="J11" s="111"/>
      <c r="K11" s="110"/>
      <c r="L11" s="111"/>
      <c r="M11" s="110"/>
      <c r="N11" s="110"/>
      <c r="O11" s="111"/>
      <c r="P11" s="111"/>
      <c r="Q11" s="110"/>
      <c r="R11" s="111"/>
    </row>
    <row r="12" spans="1:18" s="112" customFormat="1" ht="15.75" customHeight="1">
      <c r="A12" s="100"/>
      <c r="B12" s="87" t="s">
        <v>160</v>
      </c>
      <c r="C12" s="107"/>
      <c r="D12" s="108"/>
      <c r="E12" s="109"/>
      <c r="F12" s="108"/>
      <c r="G12" s="110"/>
      <c r="H12" s="99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20.25" customHeight="1">
      <c r="A13" s="100"/>
      <c r="B13" s="177" t="s">
        <v>198</v>
      </c>
      <c r="C13" s="107"/>
      <c r="D13" s="108"/>
      <c r="E13" s="109"/>
      <c r="F13" s="108"/>
      <c r="G13" s="110"/>
      <c r="H13" s="99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.75" customHeight="1">
      <c r="A14" s="158"/>
      <c r="B14" s="86" t="s">
        <v>105</v>
      </c>
      <c r="C14" s="107"/>
      <c r="D14" s="108"/>
      <c r="E14" s="109"/>
      <c r="F14" s="108"/>
      <c r="G14" s="110"/>
      <c r="H14" s="99"/>
      <c r="I14" s="110"/>
      <c r="J14" s="111"/>
      <c r="K14" s="110"/>
      <c r="L14" s="111"/>
      <c r="M14" s="110"/>
      <c r="N14" s="110"/>
      <c r="O14" s="111"/>
      <c r="P14" s="111"/>
      <c r="Q14" s="110"/>
      <c r="R14" s="111"/>
    </row>
    <row r="15" spans="1:18" s="112" customFormat="1" ht="18.75" customHeight="1">
      <c r="A15" s="88" t="s">
        <v>149</v>
      </c>
      <c r="B15" s="87" t="s">
        <v>101</v>
      </c>
      <c r="C15" s="88" t="s">
        <v>100</v>
      </c>
      <c r="D15" s="117">
        <f>F15+E15</f>
        <v>1000000</v>
      </c>
      <c r="E15" s="98">
        <v>400000</v>
      </c>
      <c r="F15" s="117">
        <v>600000</v>
      </c>
      <c r="G15" s="92">
        <f>J15+I15</f>
        <v>0</v>
      </c>
      <c r="H15" s="99">
        <f>G15*100/D15</f>
        <v>0</v>
      </c>
      <c r="I15" s="91"/>
      <c r="J15" s="92"/>
      <c r="K15" s="91">
        <f>N15+M15</f>
        <v>42690.840000000004</v>
      </c>
      <c r="L15" s="116">
        <f>K15*100/D15</f>
        <v>4.269084</v>
      </c>
      <c r="M15" s="91"/>
      <c r="N15" s="91">
        <f>14782.1+27908.74</f>
        <v>42690.840000000004</v>
      </c>
      <c r="O15" s="92">
        <f>D15-G15-K15</f>
        <v>957309.16</v>
      </c>
      <c r="P15" s="92">
        <f>O15*100/D15</f>
        <v>95.730916</v>
      </c>
      <c r="Q15" s="92">
        <f>E15-I15-M15</f>
        <v>400000</v>
      </c>
      <c r="R15" s="91">
        <f>F15-J15-N15</f>
        <v>557309.16</v>
      </c>
    </row>
    <row r="16" spans="1:18" s="112" customFormat="1" ht="18.75" customHeight="1">
      <c r="A16" s="100"/>
      <c r="B16" s="87" t="s">
        <v>19</v>
      </c>
      <c r="C16" s="107"/>
      <c r="D16" s="108"/>
      <c r="E16" s="109"/>
      <c r="F16" s="108"/>
      <c r="G16" s="110"/>
      <c r="H16" s="99"/>
      <c r="I16" s="110"/>
      <c r="J16" s="111"/>
      <c r="K16" s="110"/>
      <c r="L16" s="111"/>
      <c r="M16" s="110"/>
      <c r="N16" s="110"/>
      <c r="O16" s="111"/>
      <c r="P16" s="111"/>
      <c r="Q16" s="110"/>
      <c r="R16" s="111"/>
    </row>
    <row r="17" spans="1:18" s="112" customFormat="1" ht="18.75" customHeight="1">
      <c r="A17" s="100"/>
      <c r="B17" s="86" t="s">
        <v>106</v>
      </c>
      <c r="C17" s="107"/>
      <c r="D17" s="108"/>
      <c r="E17" s="109"/>
      <c r="F17" s="108"/>
      <c r="G17" s="110"/>
      <c r="H17" s="99"/>
      <c r="I17" s="110"/>
      <c r="J17" s="111"/>
      <c r="K17" s="110"/>
      <c r="L17" s="111"/>
      <c r="M17" s="110"/>
      <c r="N17" s="110"/>
      <c r="O17" s="111"/>
      <c r="P17" s="111"/>
      <c r="Q17" s="110"/>
      <c r="R17" s="111"/>
    </row>
    <row r="18" spans="1:18" s="112" customFormat="1" ht="19.5" customHeight="1">
      <c r="A18" s="88" t="s">
        <v>150</v>
      </c>
      <c r="B18" s="87" t="s">
        <v>102</v>
      </c>
      <c r="C18" s="88" t="s">
        <v>100</v>
      </c>
      <c r="D18" s="117">
        <f>F18+E18</f>
        <v>1000000</v>
      </c>
      <c r="E18" s="98"/>
      <c r="F18" s="117">
        <v>1000000</v>
      </c>
      <c r="G18" s="92">
        <f>J18+I18</f>
        <v>545829.25</v>
      </c>
      <c r="H18" s="99">
        <f>G18*100/D18</f>
        <v>54.582925</v>
      </c>
      <c r="I18" s="91"/>
      <c r="J18" s="92">
        <f>83290.8+21632.4+132720+68442+27898+98865+112981.05</f>
        <v>545829.25</v>
      </c>
      <c r="K18" s="91">
        <f>N18+M18</f>
        <v>186537.04</v>
      </c>
      <c r="L18" s="116">
        <f>K18*100/D18</f>
        <v>18.653704</v>
      </c>
      <c r="M18" s="91"/>
      <c r="N18" s="91">
        <f>21811.2+164725.84</f>
        <v>186537.04</v>
      </c>
      <c r="O18" s="92">
        <f>D18-G18-K18</f>
        <v>267633.70999999996</v>
      </c>
      <c r="P18" s="92">
        <f>O18*100/D18</f>
        <v>26.763370999999996</v>
      </c>
      <c r="Q18" s="92">
        <f>E18-I18-M18</f>
        <v>0</v>
      </c>
      <c r="R18" s="92">
        <f>F18-J18-N18</f>
        <v>267633.70999999996</v>
      </c>
    </row>
    <row r="19" spans="1:18" s="112" customFormat="1" ht="19.5" customHeight="1">
      <c r="A19" s="100"/>
      <c r="B19" s="87" t="s">
        <v>103</v>
      </c>
      <c r="C19" s="107"/>
      <c r="D19" s="108"/>
      <c r="E19" s="109"/>
      <c r="F19" s="108"/>
      <c r="G19" s="110"/>
      <c r="H19" s="99"/>
      <c r="I19" s="110"/>
      <c r="J19" s="111"/>
      <c r="K19" s="110"/>
      <c r="L19" s="111"/>
      <c r="M19" s="110"/>
      <c r="N19" s="110"/>
      <c r="O19" s="111"/>
      <c r="P19" s="111"/>
      <c r="Q19" s="110"/>
      <c r="R19" s="111"/>
    </row>
    <row r="20" spans="1:18" s="112" customFormat="1" ht="19.5" customHeight="1">
      <c r="A20" s="100"/>
      <c r="B20" s="87" t="s">
        <v>65</v>
      </c>
      <c r="C20" s="107"/>
      <c r="D20" s="108"/>
      <c r="E20" s="109"/>
      <c r="F20" s="108"/>
      <c r="G20" s="110"/>
      <c r="H20" s="99"/>
      <c r="I20" s="110"/>
      <c r="J20" s="111"/>
      <c r="K20" s="110"/>
      <c r="L20" s="111"/>
      <c r="M20" s="110"/>
      <c r="N20" s="110"/>
      <c r="O20" s="111"/>
      <c r="P20" s="111"/>
      <c r="Q20" s="110"/>
      <c r="R20" s="111"/>
    </row>
    <row r="21" spans="1:18" s="112" customFormat="1" ht="19.5" customHeight="1">
      <c r="A21" s="100"/>
      <c r="B21" s="86" t="s">
        <v>107</v>
      </c>
      <c r="C21" s="107"/>
      <c r="D21" s="108"/>
      <c r="E21" s="109"/>
      <c r="F21" s="108"/>
      <c r="G21" s="110"/>
      <c r="H21" s="99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9.5" customHeight="1">
      <c r="A22" s="88" t="s">
        <v>161</v>
      </c>
      <c r="B22" s="87" t="s">
        <v>51</v>
      </c>
      <c r="C22" s="88" t="s">
        <v>100</v>
      </c>
      <c r="D22" s="117">
        <f>F22+E22</f>
        <v>500000</v>
      </c>
      <c r="E22" s="98"/>
      <c r="F22" s="117">
        <v>500000</v>
      </c>
      <c r="G22" s="92">
        <f>J22+I22</f>
        <v>69336.9</v>
      </c>
      <c r="H22" s="99">
        <f>G22*100/D22</f>
        <v>13.867379999999999</v>
      </c>
      <c r="I22" s="91"/>
      <c r="J22" s="92">
        <f>3479+35900+7652.6+15000+7305.3</f>
        <v>69336.9</v>
      </c>
      <c r="K22" s="92">
        <f>N22+M22</f>
        <v>145425.2</v>
      </c>
      <c r="L22" s="116">
        <f>K22*100/D22</f>
        <v>29.085040000000003</v>
      </c>
      <c r="M22" s="91"/>
      <c r="N22" s="92">
        <f>29000-15000+2425.2+90000+39000</f>
        <v>145425.2</v>
      </c>
      <c r="O22" s="92">
        <f>D22-G22-K22</f>
        <v>285237.89999999997</v>
      </c>
      <c r="P22" s="92">
        <f>O22*100/D22</f>
        <v>57.04757999999999</v>
      </c>
      <c r="Q22" s="92">
        <f>E22-I22-M22</f>
        <v>0</v>
      </c>
      <c r="R22" s="92">
        <f>F22-J22-N22</f>
        <v>285237.89999999997</v>
      </c>
    </row>
    <row r="23" spans="1:18" s="112" customFormat="1" ht="19.5" customHeight="1">
      <c r="A23" s="100"/>
      <c r="B23" s="87" t="s">
        <v>52</v>
      </c>
      <c r="C23" s="107"/>
      <c r="D23" s="108"/>
      <c r="E23" s="109"/>
      <c r="F23" s="108"/>
      <c r="G23" s="110"/>
      <c r="H23" s="99"/>
      <c r="I23" s="110"/>
      <c r="J23" s="111"/>
      <c r="K23" s="110"/>
      <c r="L23" s="111"/>
      <c r="M23" s="110"/>
      <c r="N23" s="110"/>
      <c r="O23" s="111"/>
      <c r="P23" s="111"/>
      <c r="Q23" s="110"/>
      <c r="R23" s="111"/>
    </row>
    <row r="24" spans="1:18" s="112" customFormat="1" ht="19.5" customHeight="1">
      <c r="A24" s="100"/>
      <c r="B24" s="87" t="s">
        <v>104</v>
      </c>
      <c r="C24" s="107"/>
      <c r="D24" s="108"/>
      <c r="E24" s="109"/>
      <c r="F24" s="108"/>
      <c r="G24" s="110"/>
      <c r="H24" s="99"/>
      <c r="I24" s="110"/>
      <c r="J24" s="111"/>
      <c r="K24" s="110"/>
      <c r="L24" s="111"/>
      <c r="M24" s="110"/>
      <c r="N24" s="110"/>
      <c r="O24" s="111"/>
      <c r="P24" s="111"/>
      <c r="Q24" s="110"/>
      <c r="R24" s="111"/>
    </row>
    <row r="25" spans="1:18" s="112" customFormat="1" ht="19.5" customHeight="1">
      <c r="A25" s="100"/>
      <c r="B25" s="86" t="s">
        <v>108</v>
      </c>
      <c r="C25" s="107"/>
      <c r="D25" s="108"/>
      <c r="E25" s="109"/>
      <c r="F25" s="108"/>
      <c r="G25" s="110"/>
      <c r="H25" s="99"/>
      <c r="I25" s="110"/>
      <c r="J25" s="111"/>
      <c r="K25" s="110"/>
      <c r="L25" s="111"/>
      <c r="M25" s="110"/>
      <c r="N25" s="110"/>
      <c r="O25" s="111"/>
      <c r="P25" s="111"/>
      <c r="Q25" s="110"/>
      <c r="R25" s="111"/>
    </row>
    <row r="26" spans="1:18" s="112" customFormat="1" ht="19.5" customHeight="1">
      <c r="A26" s="100">
        <v>1.6</v>
      </c>
      <c r="B26" s="87" t="s">
        <v>50</v>
      </c>
      <c r="C26" s="88" t="s">
        <v>100</v>
      </c>
      <c r="D26" s="117">
        <f>F26+E26</f>
        <v>1700000</v>
      </c>
      <c r="E26" s="98"/>
      <c r="F26" s="117">
        <v>1700000</v>
      </c>
      <c r="G26" s="92">
        <f>J26+I26</f>
        <v>598828.75</v>
      </c>
      <c r="H26" s="99">
        <f>G26*100/D26</f>
        <v>35.225220588235295</v>
      </c>
      <c r="I26" s="91"/>
      <c r="J26" s="92">
        <f>6958+98462+53980+10382+70832.4+9162.41+15120+90465+10561.44+3360+66244.5+9621+99700+53980</f>
        <v>598828.75</v>
      </c>
      <c r="K26" s="91">
        <f>N26+M26</f>
        <v>503570</v>
      </c>
      <c r="L26" s="116">
        <f>K26*100/D26</f>
        <v>29.621764705882352</v>
      </c>
      <c r="M26" s="91"/>
      <c r="N26" s="91">
        <f>22380+7060+429250-15120+60000</f>
        <v>503570</v>
      </c>
      <c r="O26" s="92">
        <f>D26-G26-K26</f>
        <v>597601.25</v>
      </c>
      <c r="P26" s="92">
        <f>O26*100/D26</f>
        <v>35.153014705882356</v>
      </c>
      <c r="Q26" s="92">
        <f>E26-I26-M26</f>
        <v>0</v>
      </c>
      <c r="R26" s="92">
        <f>F26-J26-N26</f>
        <v>597601.25</v>
      </c>
    </row>
    <row r="27" spans="1:18" s="112" customFormat="1" ht="19.5" customHeight="1">
      <c r="A27" s="100"/>
      <c r="B27" s="87" t="s">
        <v>109</v>
      </c>
      <c r="C27" s="107"/>
      <c r="D27" s="108"/>
      <c r="E27" s="109"/>
      <c r="F27" s="108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9.5" customHeight="1">
      <c r="A28" s="100"/>
      <c r="B28" s="87" t="s">
        <v>110</v>
      </c>
      <c r="C28" s="107"/>
      <c r="D28" s="108"/>
      <c r="E28" s="109"/>
      <c r="F28" s="108"/>
      <c r="G28" s="110"/>
      <c r="H28" s="99"/>
      <c r="I28" s="110"/>
      <c r="J28" s="111"/>
      <c r="K28" s="110"/>
      <c r="L28" s="111"/>
      <c r="M28" s="110"/>
      <c r="N28" s="110"/>
      <c r="O28" s="111"/>
      <c r="P28" s="111"/>
      <c r="Q28" s="110"/>
      <c r="R28" s="111"/>
    </row>
    <row r="29" spans="1:18" s="112" customFormat="1" ht="15.75" customHeight="1">
      <c r="A29" s="100"/>
      <c r="B29" s="86" t="s">
        <v>111</v>
      </c>
      <c r="C29" s="107"/>
      <c r="D29" s="108"/>
      <c r="E29" s="109"/>
      <c r="F29" s="108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.75" customHeight="1">
      <c r="A30" s="88" t="s">
        <v>151</v>
      </c>
      <c r="B30" s="87" t="s">
        <v>112</v>
      </c>
      <c r="C30" s="88" t="s">
        <v>100</v>
      </c>
      <c r="D30" s="117">
        <f>F30+E30</f>
        <v>1500000</v>
      </c>
      <c r="E30" s="98"/>
      <c r="F30" s="117">
        <v>1500000</v>
      </c>
      <c r="G30" s="92">
        <f>J30+I30</f>
        <v>424307.56</v>
      </c>
      <c r="H30" s="99">
        <f>G30*100/D30</f>
        <v>28.28717066666667</v>
      </c>
      <c r="I30" s="91"/>
      <c r="J30" s="92">
        <f>2054+5455+41645.4+97721+16613.36+54780+206038.8</f>
        <v>424307.56</v>
      </c>
      <c r="K30" s="91">
        <f>N30+M30</f>
        <v>645746.2</v>
      </c>
      <c r="L30" s="116">
        <f>K30*100/D30</f>
        <v>43.049746666666664</v>
      </c>
      <c r="M30" s="91"/>
      <c r="N30" s="91">
        <f>84890+2425.2+379837+178594</f>
        <v>645746.2</v>
      </c>
      <c r="O30" s="92">
        <f>D30-G30-K30</f>
        <v>429946.24</v>
      </c>
      <c r="P30" s="92">
        <f>O30*100/D30</f>
        <v>28.663082666666668</v>
      </c>
      <c r="Q30" s="92">
        <f>E30-I30-M30</f>
        <v>0</v>
      </c>
      <c r="R30" s="92">
        <f>F30-J30-N30</f>
        <v>429946.24</v>
      </c>
    </row>
    <row r="31" spans="1:18" s="112" customFormat="1" ht="18.75" customHeight="1">
      <c r="A31" s="100"/>
      <c r="B31" s="87" t="s">
        <v>47</v>
      </c>
      <c r="C31" s="107"/>
      <c r="D31" s="108"/>
      <c r="E31" s="109"/>
      <c r="F31" s="108"/>
      <c r="G31" s="110"/>
      <c r="H31" s="99"/>
      <c r="I31" s="110"/>
      <c r="J31" s="111"/>
      <c r="K31" s="110"/>
      <c r="L31" s="111"/>
      <c r="M31" s="110"/>
      <c r="N31" s="110"/>
      <c r="O31" s="111"/>
      <c r="P31" s="111"/>
      <c r="Q31" s="110"/>
      <c r="R31" s="111"/>
    </row>
    <row r="32" spans="1:18" s="112" customFormat="1" ht="18.75" customHeight="1">
      <c r="A32" s="94"/>
      <c r="B32" s="95" t="s">
        <v>113</v>
      </c>
      <c r="C32" s="96"/>
      <c r="D32" s="126"/>
      <c r="E32" s="127"/>
      <c r="F32" s="126"/>
      <c r="G32" s="128"/>
      <c r="H32" s="129"/>
      <c r="I32" s="128"/>
      <c r="J32" s="130"/>
      <c r="K32" s="128"/>
      <c r="L32" s="130"/>
      <c r="M32" s="128"/>
      <c r="N32" s="128"/>
      <c r="O32" s="130"/>
      <c r="P32" s="130"/>
      <c r="Q32" s="128"/>
      <c r="R32" s="130"/>
    </row>
    <row r="33" spans="1:18" s="112" customFormat="1" ht="19.5" customHeight="1">
      <c r="A33" s="118"/>
      <c r="B33" s="178" t="s">
        <v>114</v>
      </c>
      <c r="C33" s="141"/>
      <c r="D33" s="142"/>
      <c r="E33" s="143"/>
      <c r="F33" s="142"/>
      <c r="G33" s="144"/>
      <c r="H33" s="145"/>
      <c r="I33" s="144"/>
      <c r="J33" s="146"/>
      <c r="K33" s="144"/>
      <c r="L33" s="146"/>
      <c r="M33" s="144"/>
      <c r="N33" s="144"/>
      <c r="O33" s="146"/>
      <c r="P33" s="146"/>
      <c r="Q33" s="144"/>
      <c r="R33" s="146"/>
    </row>
    <row r="34" spans="1:18" s="112" customFormat="1" ht="19.5" customHeight="1">
      <c r="A34" s="88" t="s">
        <v>152</v>
      </c>
      <c r="B34" s="87" t="s">
        <v>115</v>
      </c>
      <c r="C34" s="88" t="s">
        <v>100</v>
      </c>
      <c r="D34" s="117">
        <f>F34+E34</f>
        <v>1000000</v>
      </c>
      <c r="E34" s="98">
        <v>104000</v>
      </c>
      <c r="F34" s="117">
        <v>896000</v>
      </c>
      <c r="G34" s="92">
        <f>J34+I34</f>
        <v>82424.25</v>
      </c>
      <c r="H34" s="99">
        <f>G34*100/D34</f>
        <v>8.242425</v>
      </c>
      <c r="I34" s="91"/>
      <c r="J34" s="92">
        <f>49302+33122.25</f>
        <v>82424.25</v>
      </c>
      <c r="K34" s="91">
        <f>N34+M34</f>
        <v>0</v>
      </c>
      <c r="L34" s="116">
        <f>K34*100/D34</f>
        <v>0</v>
      </c>
      <c r="M34" s="91"/>
      <c r="N34" s="91"/>
      <c r="O34" s="92">
        <f>D34-G34-K34</f>
        <v>917575.75</v>
      </c>
      <c r="P34" s="92">
        <f>O34*100/D34</f>
        <v>91.757575</v>
      </c>
      <c r="Q34" s="92">
        <f>E34-I34-M34</f>
        <v>104000</v>
      </c>
      <c r="R34" s="92">
        <f>F34-J34-N34</f>
        <v>813575.75</v>
      </c>
    </row>
    <row r="35" spans="1:18" s="112" customFormat="1" ht="19.5" customHeight="1">
      <c r="A35" s="100"/>
      <c r="B35" s="87" t="s">
        <v>116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9.5" customHeight="1">
      <c r="A36" s="100"/>
      <c r="B36" s="87" t="s">
        <v>117</v>
      </c>
      <c r="C36" s="107"/>
      <c r="D36" s="108"/>
      <c r="E36" s="109"/>
      <c r="F36" s="108"/>
      <c r="G36" s="110"/>
      <c r="H36" s="99"/>
      <c r="I36" s="110"/>
      <c r="J36" s="111"/>
      <c r="K36" s="110"/>
      <c r="L36" s="111"/>
      <c r="M36" s="110"/>
      <c r="N36" s="110"/>
      <c r="O36" s="111"/>
      <c r="P36" s="111"/>
      <c r="Q36" s="110"/>
      <c r="R36" s="111"/>
    </row>
    <row r="37" spans="1:18" s="112" customFormat="1" ht="19.5" customHeight="1">
      <c r="A37" s="100"/>
      <c r="B37" s="86" t="s">
        <v>118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9.5" customHeight="1">
      <c r="A38" s="88" t="s">
        <v>153</v>
      </c>
      <c r="B38" s="87" t="s">
        <v>119</v>
      </c>
      <c r="C38" s="88" t="s">
        <v>100</v>
      </c>
      <c r="D38" s="117">
        <f>F38+E38</f>
        <v>1500000</v>
      </c>
      <c r="E38" s="98">
        <v>493000</v>
      </c>
      <c r="F38" s="117">
        <v>1007000</v>
      </c>
      <c r="G38" s="92">
        <f>J38+I38</f>
        <v>82424.25</v>
      </c>
      <c r="H38" s="99">
        <f>G38*100/D38</f>
        <v>5.49495</v>
      </c>
      <c r="I38" s="91"/>
      <c r="J38" s="92">
        <f>49302+33122.25</f>
        <v>82424.25</v>
      </c>
      <c r="K38" s="91">
        <f>N38+M38</f>
        <v>0</v>
      </c>
      <c r="L38" s="116">
        <f>K38*100/D38</f>
        <v>0</v>
      </c>
      <c r="M38" s="91"/>
      <c r="N38" s="91"/>
      <c r="O38" s="92">
        <f>D38-G38-K38</f>
        <v>1417575.75</v>
      </c>
      <c r="P38" s="92">
        <f>O38*100/D38</f>
        <v>94.50505</v>
      </c>
      <c r="Q38" s="92">
        <f>E38-I38-M38</f>
        <v>493000</v>
      </c>
      <c r="R38" s="92">
        <f>F38-J38-N38</f>
        <v>924575.75</v>
      </c>
    </row>
    <row r="39" spans="1:18" s="112" customFormat="1" ht="19.5" customHeight="1">
      <c r="A39" s="100"/>
      <c r="B39" s="87" t="s">
        <v>120</v>
      </c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9.5" customHeight="1">
      <c r="A40" s="100"/>
      <c r="B40" s="87" t="s">
        <v>80</v>
      </c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9.5" customHeight="1">
      <c r="A41" s="100"/>
      <c r="B41" s="86" t="s">
        <v>121</v>
      </c>
      <c r="C41" s="107"/>
      <c r="D41" s="108"/>
      <c r="E41" s="109"/>
      <c r="F41" s="108"/>
      <c r="G41" s="110"/>
      <c r="H41" s="99"/>
      <c r="I41" s="110"/>
      <c r="J41" s="111"/>
      <c r="K41" s="110"/>
      <c r="L41" s="111"/>
      <c r="M41" s="110"/>
      <c r="N41" s="110"/>
      <c r="O41" s="111"/>
      <c r="P41" s="111"/>
      <c r="Q41" s="110"/>
      <c r="R41" s="111"/>
    </row>
    <row r="42" spans="1:18" s="112" customFormat="1" ht="19.5" customHeight="1">
      <c r="A42" s="88" t="s">
        <v>38</v>
      </c>
      <c r="B42" s="100" t="s">
        <v>115</v>
      </c>
      <c r="C42" s="88" t="s">
        <v>100</v>
      </c>
      <c r="D42" s="117">
        <f>F42+E42</f>
        <v>1500000</v>
      </c>
      <c r="E42" s="98">
        <v>446000</v>
      </c>
      <c r="F42" s="117">
        <v>1054000</v>
      </c>
      <c r="G42" s="92">
        <f>J42+I42</f>
        <v>37453.8</v>
      </c>
      <c r="H42" s="99">
        <f>G42*100/D42</f>
        <v>2.4969200000000003</v>
      </c>
      <c r="I42" s="91"/>
      <c r="J42" s="92">
        <f>10956+26497.8</f>
        <v>37453.8</v>
      </c>
      <c r="K42" s="91">
        <f>N42+M42</f>
        <v>126311.16</v>
      </c>
      <c r="L42" s="116">
        <f>K42*100/D42</f>
        <v>8.420744</v>
      </c>
      <c r="M42" s="91"/>
      <c r="N42" s="91">
        <f>29433.16+96878</f>
        <v>126311.16</v>
      </c>
      <c r="O42" s="92">
        <f>D42-G42-K42</f>
        <v>1336235.04</v>
      </c>
      <c r="P42" s="92">
        <f>O42*100/D42</f>
        <v>89.082336</v>
      </c>
      <c r="Q42" s="92">
        <f>E42-I42-M42</f>
        <v>446000</v>
      </c>
      <c r="R42" s="92">
        <f>F42-J42-N42</f>
        <v>890235.0399999999</v>
      </c>
    </row>
    <row r="43" spans="1:18" s="112" customFormat="1" ht="19.5" customHeight="1">
      <c r="A43" s="100"/>
      <c r="B43" s="87" t="s">
        <v>122</v>
      </c>
      <c r="C43" s="107"/>
      <c r="D43" s="108"/>
      <c r="E43" s="109"/>
      <c r="F43" s="108"/>
      <c r="G43" s="110"/>
      <c r="H43" s="99"/>
      <c r="I43" s="110"/>
      <c r="J43" s="111"/>
      <c r="K43" s="110"/>
      <c r="L43" s="111"/>
      <c r="M43" s="110"/>
      <c r="N43" s="110"/>
      <c r="O43" s="111"/>
      <c r="P43" s="111"/>
      <c r="Q43" s="110"/>
      <c r="R43" s="111"/>
    </row>
    <row r="44" spans="1:18" s="112" customFormat="1" ht="19.5" customHeight="1">
      <c r="A44" s="100"/>
      <c r="B44" s="107" t="s">
        <v>123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9.5" customHeight="1">
      <c r="A45" s="100"/>
      <c r="B45" s="86" t="s">
        <v>162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9.5" customHeight="1">
      <c r="A46" s="88" t="s">
        <v>39</v>
      </c>
      <c r="B46" s="175" t="s">
        <v>164</v>
      </c>
      <c r="C46" s="88" t="s">
        <v>128</v>
      </c>
      <c r="D46" s="117">
        <f>F46+E46</f>
        <v>4000000</v>
      </c>
      <c r="E46" s="98"/>
      <c r="F46" s="117">
        <v>4000000</v>
      </c>
      <c r="G46" s="92">
        <f>J46+I46</f>
        <v>739548.24</v>
      </c>
      <c r="H46" s="99">
        <f>G46*100/D46</f>
        <v>18.488706</v>
      </c>
      <c r="I46" s="91"/>
      <c r="J46" s="92">
        <f>3479+332680+144892.35+28434.84+2560+131908.05+95594</f>
        <v>739548.24</v>
      </c>
      <c r="K46" s="92">
        <f>N46+M46</f>
        <v>1684281.2</v>
      </c>
      <c r="L46" s="116">
        <f>K46*100/D46</f>
        <v>42.10703</v>
      </c>
      <c r="M46" s="91"/>
      <c r="N46" s="92">
        <f>156373+49063+875811+2425.2+164340+91545+60624+284100</f>
        <v>1684281.2</v>
      </c>
      <c r="O46" s="92">
        <f>D46-G46-K46</f>
        <v>1576170.5599999998</v>
      </c>
      <c r="P46" s="92">
        <f>O46*100/D46</f>
        <v>39.40426399999999</v>
      </c>
      <c r="Q46" s="92">
        <f>E46-I46-M46</f>
        <v>0</v>
      </c>
      <c r="R46" s="92">
        <f>F46-J46-N46</f>
        <v>1576170.5599999998</v>
      </c>
    </row>
    <row r="47" spans="1:18" s="112" customFormat="1" ht="19.5" customHeight="1">
      <c r="A47" s="100"/>
      <c r="B47" s="175" t="s">
        <v>165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9.5" customHeight="1">
      <c r="A48" s="100"/>
      <c r="B48" s="179" t="s">
        <v>163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9.5" customHeight="1">
      <c r="A49" s="100"/>
      <c r="B49" s="86" t="s">
        <v>168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9.5" customHeight="1">
      <c r="A50" s="88" t="s">
        <v>40</v>
      </c>
      <c r="B50" s="175" t="s">
        <v>169</v>
      </c>
      <c r="C50" s="88" t="s">
        <v>128</v>
      </c>
      <c r="D50" s="117">
        <f>F50+E50</f>
        <v>3000000</v>
      </c>
      <c r="E50" s="98"/>
      <c r="F50" s="117">
        <v>3000000</v>
      </c>
      <c r="G50" s="92">
        <f>J50+I50</f>
        <v>263376.4</v>
      </c>
      <c r="H50" s="99">
        <f>G50*100/D50</f>
        <v>8.779213333333335</v>
      </c>
      <c r="I50" s="91"/>
      <c r="J50" s="92">
        <f>109511.1+40568.8+113296.5</f>
        <v>263376.4</v>
      </c>
      <c r="K50" s="91">
        <f>N50+M50</f>
        <v>1046226.72</v>
      </c>
      <c r="L50" s="116">
        <f>K50*100/D50</f>
        <v>34.874224</v>
      </c>
      <c r="M50" s="91"/>
      <c r="N50" s="91">
        <f>298258+35951.7+105376+256871.02+349770</f>
        <v>1046226.72</v>
      </c>
      <c r="O50" s="92">
        <f>D50-G50-K50</f>
        <v>1690396.8800000001</v>
      </c>
      <c r="P50" s="92">
        <f>O50*100/D50</f>
        <v>56.346562666666664</v>
      </c>
      <c r="Q50" s="92">
        <f>E50-I50-M50</f>
        <v>0</v>
      </c>
      <c r="R50" s="92">
        <f>F50-J50-N50</f>
        <v>1690396.8800000001</v>
      </c>
    </row>
    <row r="51" spans="1:18" s="112" customFormat="1" ht="19.5" customHeight="1">
      <c r="A51" s="100"/>
      <c r="B51" s="175" t="s">
        <v>170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9.5" customHeight="1">
      <c r="A52" s="100"/>
      <c r="B52" s="179" t="s">
        <v>171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9.5" customHeight="1">
      <c r="A53" s="100"/>
      <c r="B53" s="86" t="s">
        <v>172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9.5" customHeight="1">
      <c r="A54" s="88" t="s">
        <v>43</v>
      </c>
      <c r="B54" s="175" t="s">
        <v>173</v>
      </c>
      <c r="C54" s="88" t="s">
        <v>128</v>
      </c>
      <c r="D54" s="117">
        <f>F54+E54</f>
        <v>2500000</v>
      </c>
      <c r="E54" s="98"/>
      <c r="F54" s="117">
        <v>2500000</v>
      </c>
      <c r="G54" s="92">
        <f>J54+I54</f>
        <v>1385500.2699999998</v>
      </c>
      <c r="H54" s="99">
        <f>G54*100/D54</f>
        <v>55.420010799999986</v>
      </c>
      <c r="I54" s="91"/>
      <c r="J54" s="92">
        <f>3479+73034.17+288102+23540+99465+160352.4+292458+192489+3842+86798.7+161940</f>
        <v>1385500.2699999998</v>
      </c>
      <c r="K54" s="91">
        <f>N54+M54</f>
        <v>44479.2</v>
      </c>
      <c r="L54" s="116">
        <f>K54*100/D54</f>
        <v>1.779168</v>
      </c>
      <c r="M54" s="91"/>
      <c r="N54" s="91">
        <f>42054+2425.2</f>
        <v>44479.2</v>
      </c>
      <c r="O54" s="92">
        <f>D54-G54-K54</f>
        <v>1070020.5300000003</v>
      </c>
      <c r="P54" s="92">
        <f>O54*100/D54</f>
        <v>42.80082120000001</v>
      </c>
      <c r="Q54" s="92">
        <f>E54-I54-M54</f>
        <v>0</v>
      </c>
      <c r="R54" s="92">
        <f>F54-J54-N54</f>
        <v>1070020.5300000003</v>
      </c>
    </row>
    <row r="55" spans="1:18" s="112" customFormat="1" ht="19.5" customHeight="1">
      <c r="A55" s="100"/>
      <c r="B55" s="175" t="s">
        <v>66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9.5" customHeight="1">
      <c r="A56" s="100"/>
      <c r="B56" s="179" t="s">
        <v>49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9.5" customHeight="1">
      <c r="A57" s="100"/>
      <c r="B57" s="86" t="s">
        <v>174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9.5" customHeight="1">
      <c r="A58" s="88" t="s">
        <v>53</v>
      </c>
      <c r="B58" s="175" t="s">
        <v>175</v>
      </c>
      <c r="C58" s="88" t="s">
        <v>128</v>
      </c>
      <c r="D58" s="117">
        <f>F58+E58</f>
        <v>2300000</v>
      </c>
      <c r="E58" s="98"/>
      <c r="F58" s="117">
        <v>2300000</v>
      </c>
      <c r="G58" s="92">
        <f>J58+I58</f>
        <v>763860.9</v>
      </c>
      <c r="H58" s="99">
        <f>G58*100/D58</f>
        <v>33.21134347826087</v>
      </c>
      <c r="I58" s="91"/>
      <c r="J58" s="92">
        <f>53980+117995.3+95817+82717.35+193760+165611.25+53980</f>
        <v>763860.9</v>
      </c>
      <c r="K58" s="91">
        <f>N58+M58</f>
        <v>510567</v>
      </c>
      <c r="L58" s="116">
        <f>K58*100/D58</f>
        <v>22.198565217391305</v>
      </c>
      <c r="M58" s="91"/>
      <c r="N58" s="91">
        <f>483176+27391</f>
        <v>510567</v>
      </c>
      <c r="O58" s="92">
        <f>D58-G58-K58</f>
        <v>1025572.1000000001</v>
      </c>
      <c r="P58" s="92">
        <f>O58*100/D58</f>
        <v>44.59009130434783</v>
      </c>
      <c r="Q58" s="92">
        <f>E58-I58-M58</f>
        <v>0</v>
      </c>
      <c r="R58" s="92">
        <f>F58-J58-N58</f>
        <v>1025572.1000000001</v>
      </c>
    </row>
    <row r="59" spans="1:18" s="112" customFormat="1" ht="19.5" customHeight="1">
      <c r="A59" s="100"/>
      <c r="B59" s="175" t="s">
        <v>176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9.5" customHeight="1">
      <c r="A60" s="100"/>
      <c r="B60" s="179" t="s">
        <v>177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8.75" customHeight="1">
      <c r="A61" s="94"/>
      <c r="B61" s="180" t="s">
        <v>55</v>
      </c>
      <c r="C61" s="181"/>
      <c r="D61" s="184">
        <f>F61+E61</f>
        <v>26866100</v>
      </c>
      <c r="E61" s="185">
        <f>E7+E10+E15+E18+E22+E26+E30+E34+E38+E42+E46+E50+E54+E58</f>
        <v>1443000</v>
      </c>
      <c r="F61" s="184">
        <f>F7+F10+F15+F18+F22+F26+F30+F34+F38+F42+F46+F50+F54+F58</f>
        <v>25423100</v>
      </c>
      <c r="G61" s="186">
        <f>J61+I61</f>
        <v>5725102.92</v>
      </c>
      <c r="H61" s="183">
        <f>G61*100/D61</f>
        <v>21.30976554096054</v>
      </c>
      <c r="I61" s="186">
        <f>I7+I10+I15+I18+I22+I26+I30+I34+I38+I42+I46+I50+I54+I58</f>
        <v>0</v>
      </c>
      <c r="J61" s="183">
        <f>J7+J10+J15+J18+J22+J26+J30+J34+J38+J42+J46+J50+J54+J58</f>
        <v>5725102.92</v>
      </c>
      <c r="K61" s="186">
        <f>N61+M61</f>
        <v>5119924.06</v>
      </c>
      <c r="L61" s="183">
        <f>K61*100/D61</f>
        <v>19.057191255894974</v>
      </c>
      <c r="M61" s="186">
        <f>M7+M10+M15+M18+M22+M26+M30+M34+M38+M42+M46+M50+M54+M58</f>
        <v>0</v>
      </c>
      <c r="N61" s="186">
        <f>N7+N10+N15+N18+N22+N26+N30+N34+N38+N42+N46+N50+N54+N58</f>
        <v>5119924.06</v>
      </c>
      <c r="O61" s="183">
        <f>D61-G61-K61</f>
        <v>16021073.02</v>
      </c>
      <c r="P61" s="183">
        <f>O61*100/D61</f>
        <v>59.63304320314448</v>
      </c>
      <c r="Q61" s="201">
        <f>E61-I61-M61</f>
        <v>1443000</v>
      </c>
      <c r="R61" s="182">
        <f>F61-J61-N61</f>
        <v>14578073.02</v>
      </c>
    </row>
    <row r="62" spans="1:18" ht="18.75" customHeight="1">
      <c r="A62" s="157">
        <v>2</v>
      </c>
      <c r="B62" s="120" t="s">
        <v>199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2"/>
    </row>
    <row r="63" spans="1:18" s="112" customFormat="1" ht="18.75" customHeight="1">
      <c r="A63" s="100"/>
      <c r="B63" s="86" t="s">
        <v>132</v>
      </c>
      <c r="C63" s="107"/>
      <c r="D63" s="108"/>
      <c r="E63" s="109"/>
      <c r="F63" s="108"/>
      <c r="G63" s="110"/>
      <c r="H63" s="99"/>
      <c r="I63" s="110"/>
      <c r="J63" s="111"/>
      <c r="K63" s="110"/>
      <c r="L63" s="99"/>
      <c r="M63" s="110"/>
      <c r="N63" s="110"/>
      <c r="O63" s="111"/>
      <c r="P63" s="111"/>
      <c r="Q63" s="110"/>
      <c r="R63" s="99"/>
    </row>
    <row r="64" spans="1:18" s="112" customFormat="1" ht="18.75" customHeight="1">
      <c r="A64" s="88" t="s">
        <v>138</v>
      </c>
      <c r="B64" s="87" t="s">
        <v>98</v>
      </c>
      <c r="C64" s="88" t="s">
        <v>100</v>
      </c>
      <c r="D64" s="117">
        <f>F64+E64</f>
        <v>1908000</v>
      </c>
      <c r="E64" s="98"/>
      <c r="F64" s="117">
        <v>1908000</v>
      </c>
      <c r="G64" s="92">
        <f>J64+I64</f>
        <v>563831.06</v>
      </c>
      <c r="H64" s="99">
        <f>G64*100/D64</f>
        <v>29.55089412997904</v>
      </c>
      <c r="I64" s="91"/>
      <c r="J64" s="92">
        <f>34620+53980+30914.1+43230+15478+8989.07+54780+18360+68747.04+180752.85+53980</f>
        <v>563831.06</v>
      </c>
      <c r="K64" s="91">
        <f>N64+M64</f>
        <v>28031.5</v>
      </c>
      <c r="L64" s="116">
        <f>K64*100/D64</f>
        <v>1.4691561844863732</v>
      </c>
      <c r="M64" s="91"/>
      <c r="N64" s="91">
        <f>28031.5</f>
        <v>28031.5</v>
      </c>
      <c r="O64" s="91">
        <f>D64-G64-K64</f>
        <v>1316137.44</v>
      </c>
      <c r="P64" s="92">
        <f>O64*100/D64</f>
        <v>68.97994968553459</v>
      </c>
      <c r="Q64" s="91">
        <f>E64-I64-M64</f>
        <v>0</v>
      </c>
      <c r="R64" s="92">
        <f>F64-J64-N64</f>
        <v>1316137.44</v>
      </c>
    </row>
    <row r="65" spans="1:18" s="112" customFormat="1" ht="18.75" customHeight="1">
      <c r="A65" s="100"/>
      <c r="B65" s="87" t="s">
        <v>99</v>
      </c>
      <c r="C65" s="107"/>
      <c r="D65" s="147"/>
      <c r="E65" s="148"/>
      <c r="F65" s="147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100"/>
      <c r="B66" s="86" t="s">
        <v>131</v>
      </c>
      <c r="C66" s="107"/>
      <c r="D66" s="147"/>
      <c r="E66" s="148"/>
      <c r="F66" s="147"/>
      <c r="G66" s="110"/>
      <c r="H66" s="99"/>
      <c r="I66" s="110"/>
      <c r="J66" s="111"/>
      <c r="K66" s="110"/>
      <c r="L66" s="111"/>
      <c r="M66" s="110"/>
      <c r="N66" s="110"/>
      <c r="O66" s="111"/>
      <c r="P66" s="111"/>
      <c r="Q66" s="110"/>
      <c r="R66" s="111"/>
    </row>
    <row r="67" spans="1:18" s="112" customFormat="1" ht="18.75" customHeight="1">
      <c r="A67" s="88" t="s">
        <v>139</v>
      </c>
      <c r="B67" s="87" t="s">
        <v>126</v>
      </c>
      <c r="C67" s="88" t="s">
        <v>128</v>
      </c>
      <c r="D67" s="117">
        <f>F67+E67</f>
        <v>14489000</v>
      </c>
      <c r="E67" s="98"/>
      <c r="F67" s="117">
        <v>14489000</v>
      </c>
      <c r="G67" s="92">
        <f>J67+I67</f>
        <v>82170</v>
      </c>
      <c r="H67" s="99">
        <f>G67*100/D67</f>
        <v>0.5671198840499689</v>
      </c>
      <c r="I67" s="91"/>
      <c r="J67" s="92">
        <f>82170</f>
        <v>82170</v>
      </c>
      <c r="K67" s="91">
        <f>N67+M67</f>
        <v>98690</v>
      </c>
      <c r="L67" s="116">
        <f>K67*100/D67</f>
        <v>0.6811374145903789</v>
      </c>
      <c r="M67" s="91"/>
      <c r="N67" s="91">
        <f>98690</f>
        <v>98690</v>
      </c>
      <c r="O67" s="92">
        <f>D67-G67-K67</f>
        <v>14308140</v>
      </c>
      <c r="P67" s="92">
        <f>O67*100/D67</f>
        <v>98.75174270135965</v>
      </c>
      <c r="Q67" s="91">
        <f>E67-I67-M67</f>
        <v>0</v>
      </c>
      <c r="R67" s="176">
        <f>F67-J67-N67</f>
        <v>14308140</v>
      </c>
    </row>
    <row r="68" spans="1:18" s="112" customFormat="1" ht="18.75" customHeight="1">
      <c r="A68" s="100"/>
      <c r="B68" s="87" t="s">
        <v>127</v>
      </c>
      <c r="C68" s="107"/>
      <c r="D68" s="147"/>
      <c r="E68" s="148"/>
      <c r="F68" s="147"/>
      <c r="G68" s="110"/>
      <c r="H68" s="99"/>
      <c r="I68" s="110"/>
      <c r="J68" s="111"/>
      <c r="K68" s="110"/>
      <c r="L68" s="111"/>
      <c r="M68" s="110"/>
      <c r="N68" s="110"/>
      <c r="O68" s="111"/>
      <c r="P68" s="111"/>
      <c r="Q68" s="110"/>
      <c r="R68" s="116"/>
    </row>
    <row r="69" spans="1:18" s="112" customFormat="1" ht="18.75" customHeight="1">
      <c r="A69" s="100"/>
      <c r="B69" s="86" t="s">
        <v>133</v>
      </c>
      <c r="C69" s="107"/>
      <c r="D69" s="147"/>
      <c r="E69" s="148"/>
      <c r="F69" s="147"/>
      <c r="G69" s="110"/>
      <c r="H69" s="99"/>
      <c r="I69" s="110"/>
      <c r="J69" s="111"/>
      <c r="K69" s="110"/>
      <c r="L69" s="111"/>
      <c r="M69" s="110"/>
      <c r="N69" s="110"/>
      <c r="O69" s="111"/>
      <c r="P69" s="111"/>
      <c r="Q69" s="110"/>
      <c r="R69" s="116"/>
    </row>
    <row r="70" spans="1:18" s="112" customFormat="1" ht="18.75" customHeight="1">
      <c r="A70" s="88" t="s">
        <v>140</v>
      </c>
      <c r="B70" s="87" t="s">
        <v>129</v>
      </c>
      <c r="C70" s="88" t="s">
        <v>128</v>
      </c>
      <c r="D70" s="117">
        <f>F70+E70</f>
        <v>25192000</v>
      </c>
      <c r="E70" s="98"/>
      <c r="F70" s="117">
        <v>25192000</v>
      </c>
      <c r="G70" s="92">
        <f>J70+I70</f>
        <v>234532.35</v>
      </c>
      <c r="H70" s="99">
        <f>G70*100/D70</f>
        <v>0.9309794776119403</v>
      </c>
      <c r="I70" s="91"/>
      <c r="J70" s="92">
        <f>152362.35+82170</f>
        <v>234532.35</v>
      </c>
      <c r="K70" s="91">
        <f>N70+M70</f>
        <v>159679.6</v>
      </c>
      <c r="L70" s="116">
        <f>K70*100/D70</f>
        <v>0.6338504287075262</v>
      </c>
      <c r="M70" s="91"/>
      <c r="N70" s="91">
        <f>33039.6+36720+89920</f>
        <v>159679.6</v>
      </c>
      <c r="O70" s="92">
        <f>D70-G70-K70</f>
        <v>24797788.049999997</v>
      </c>
      <c r="P70" s="92">
        <f>O70*100/D70</f>
        <v>98.43517009368051</v>
      </c>
      <c r="Q70" s="91">
        <f>E70-I70-M70</f>
        <v>0</v>
      </c>
      <c r="R70" s="176">
        <f>F70-J70-N70</f>
        <v>24797788.049999997</v>
      </c>
    </row>
    <row r="71" spans="1:18" s="112" customFormat="1" ht="18.75" customHeight="1">
      <c r="A71" s="100"/>
      <c r="B71" s="87" t="s">
        <v>130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6"/>
    </row>
    <row r="72" spans="1:18" s="112" customFormat="1" ht="18.75" customHeight="1">
      <c r="A72" s="100"/>
      <c r="B72" s="87" t="s">
        <v>54</v>
      </c>
      <c r="C72" s="107"/>
      <c r="D72" s="108"/>
      <c r="E72" s="109"/>
      <c r="F72" s="108"/>
      <c r="G72" s="110"/>
      <c r="H72" s="99"/>
      <c r="I72" s="110"/>
      <c r="J72" s="111"/>
      <c r="K72" s="110"/>
      <c r="L72" s="111"/>
      <c r="M72" s="110"/>
      <c r="N72" s="110"/>
      <c r="O72" s="111"/>
      <c r="P72" s="111"/>
      <c r="Q72" s="110"/>
      <c r="R72" s="111"/>
    </row>
    <row r="73" spans="1:18" s="112" customFormat="1" ht="18.75" customHeight="1">
      <c r="A73" s="100">
        <v>2.4</v>
      </c>
      <c r="B73" s="86" t="s">
        <v>183</v>
      </c>
      <c r="C73" s="107"/>
      <c r="D73" s="108"/>
      <c r="E73" s="109"/>
      <c r="F73" s="108"/>
      <c r="G73" s="110"/>
      <c r="H73" s="99"/>
      <c r="I73" s="110"/>
      <c r="J73" s="111"/>
      <c r="K73" s="110"/>
      <c r="L73" s="111"/>
      <c r="M73" s="110"/>
      <c r="N73" s="110"/>
      <c r="O73" s="111"/>
      <c r="P73" s="111"/>
      <c r="Q73" s="110"/>
      <c r="R73" s="111"/>
    </row>
    <row r="74" spans="1:18" s="112" customFormat="1" ht="18.75" customHeight="1">
      <c r="A74" s="100"/>
      <c r="B74" s="87" t="s">
        <v>184</v>
      </c>
      <c r="C74" s="88" t="s">
        <v>128</v>
      </c>
      <c r="D74" s="117">
        <f>F74+E74</f>
        <v>3360000</v>
      </c>
      <c r="E74" s="98">
        <v>488900</v>
      </c>
      <c r="F74" s="117">
        <v>2871100</v>
      </c>
      <c r="G74" s="92">
        <f>J74+I74</f>
        <v>54780</v>
      </c>
      <c r="H74" s="99">
        <f>G74*100/D74</f>
        <v>1.6303571428571428</v>
      </c>
      <c r="I74" s="91"/>
      <c r="J74" s="92">
        <f>54780</f>
        <v>54780</v>
      </c>
      <c r="K74" s="91">
        <f>N74+M74</f>
        <v>0</v>
      </c>
      <c r="L74" s="116">
        <f>K74*100/D74</f>
        <v>0</v>
      </c>
      <c r="M74" s="91"/>
      <c r="N74" s="91"/>
      <c r="O74" s="92">
        <f>D74-G74-K74</f>
        <v>3305220</v>
      </c>
      <c r="P74" s="92">
        <f>O74*100/D74</f>
        <v>98.36964285714286</v>
      </c>
      <c r="Q74" s="92">
        <f>E74-I74-M74</f>
        <v>488900</v>
      </c>
      <c r="R74" s="176">
        <f>F74-J74-N74</f>
        <v>2816320</v>
      </c>
    </row>
    <row r="75" spans="1:18" s="112" customFormat="1" ht="18.75" customHeight="1">
      <c r="A75" s="100"/>
      <c r="B75" s="87" t="s">
        <v>185</v>
      </c>
      <c r="C75" s="107"/>
      <c r="D75" s="108"/>
      <c r="E75" s="109"/>
      <c r="F75" s="108"/>
      <c r="G75" s="110"/>
      <c r="H75" s="99"/>
      <c r="I75" s="110"/>
      <c r="J75" s="111"/>
      <c r="K75" s="110"/>
      <c r="L75" s="111"/>
      <c r="M75" s="110"/>
      <c r="N75" s="110"/>
      <c r="O75" s="111"/>
      <c r="P75" s="111"/>
      <c r="Q75" s="110"/>
      <c r="R75" s="111"/>
    </row>
    <row r="76" spans="1:18" s="112" customFormat="1" ht="18.75" customHeight="1">
      <c r="A76" s="100"/>
      <c r="B76" s="87" t="s">
        <v>80</v>
      </c>
      <c r="C76" s="107"/>
      <c r="D76" s="108"/>
      <c r="E76" s="109"/>
      <c r="F76" s="108"/>
      <c r="G76" s="110"/>
      <c r="H76" s="99"/>
      <c r="I76" s="110"/>
      <c r="J76" s="111"/>
      <c r="K76" s="110"/>
      <c r="L76" s="111"/>
      <c r="M76" s="110"/>
      <c r="N76" s="110"/>
      <c r="O76" s="111"/>
      <c r="P76" s="111"/>
      <c r="Q76" s="110"/>
      <c r="R76" s="111"/>
    </row>
    <row r="77" spans="1:18" s="112" customFormat="1" ht="18.75" customHeight="1">
      <c r="A77" s="100">
        <v>2.5</v>
      </c>
      <c r="B77" s="86" t="s">
        <v>186</v>
      </c>
      <c r="C77" s="107"/>
      <c r="D77" s="108"/>
      <c r="E77" s="109"/>
      <c r="F77" s="108"/>
      <c r="G77" s="110"/>
      <c r="H77" s="99"/>
      <c r="I77" s="110"/>
      <c r="J77" s="111"/>
      <c r="K77" s="110"/>
      <c r="L77" s="111"/>
      <c r="M77" s="110"/>
      <c r="N77" s="110"/>
      <c r="O77" s="111"/>
      <c r="P77" s="111"/>
      <c r="Q77" s="110"/>
      <c r="R77" s="111"/>
    </row>
    <row r="78" spans="1:18" s="112" customFormat="1" ht="18.75" customHeight="1">
      <c r="A78" s="100"/>
      <c r="B78" s="87" t="s">
        <v>190</v>
      </c>
      <c r="C78" s="88" t="s">
        <v>128</v>
      </c>
      <c r="D78" s="117">
        <f>F78+E78</f>
        <v>4800000</v>
      </c>
      <c r="E78" s="98"/>
      <c r="F78" s="117">
        <v>4800000</v>
      </c>
      <c r="G78" s="92">
        <f>J78+I78</f>
        <v>1200655.28</v>
      </c>
      <c r="H78" s="99">
        <f>G78*100/D78</f>
        <v>25.013651666666668</v>
      </c>
      <c r="I78" s="91"/>
      <c r="J78" s="92">
        <f>3479+16590+79170+53980+98970+215959.4+285519.78+213344.1+179663+53980</f>
        <v>1200655.28</v>
      </c>
      <c r="K78" s="92">
        <f>N78+M78</f>
        <v>325272</v>
      </c>
      <c r="L78" s="99">
        <f>K78*100/D78</f>
        <v>6.7765</v>
      </c>
      <c r="M78" s="92"/>
      <c r="N78" s="92">
        <f>193137+132135</f>
        <v>325272</v>
      </c>
      <c r="O78" s="92">
        <f>D78-G78-K78</f>
        <v>3274072.7199999997</v>
      </c>
      <c r="P78" s="92">
        <f>O78*100/D78</f>
        <v>68.20984833333333</v>
      </c>
      <c r="Q78" s="91">
        <f>E78-I78-M78</f>
        <v>0</v>
      </c>
      <c r="R78" s="176">
        <f>F78-J78-N78</f>
        <v>3274072.7199999997</v>
      </c>
    </row>
    <row r="79" spans="1:18" s="112" customFormat="1" ht="18.75" customHeight="1">
      <c r="A79" s="100"/>
      <c r="B79" s="87" t="s">
        <v>48</v>
      </c>
      <c r="C79" s="107"/>
      <c r="D79" s="108"/>
      <c r="E79" s="109"/>
      <c r="F79" s="108"/>
      <c r="G79" s="110"/>
      <c r="H79" s="99"/>
      <c r="I79" s="110"/>
      <c r="J79" s="111"/>
      <c r="K79" s="110"/>
      <c r="L79" s="111"/>
      <c r="M79" s="110"/>
      <c r="N79" s="110"/>
      <c r="O79" s="111"/>
      <c r="P79" s="111"/>
      <c r="Q79" s="110"/>
      <c r="R79" s="111"/>
    </row>
    <row r="80" spans="1:18" s="112" customFormat="1" ht="18.75" customHeight="1">
      <c r="A80" s="100">
        <v>2.6</v>
      </c>
      <c r="B80" s="86" t="s">
        <v>187</v>
      </c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87" t="s">
        <v>188</v>
      </c>
      <c r="C81" s="88" t="s">
        <v>128</v>
      </c>
      <c r="D81" s="117">
        <f>F81+E81</f>
        <v>5722000</v>
      </c>
      <c r="E81" s="98"/>
      <c r="F81" s="117">
        <v>5722000</v>
      </c>
      <c r="G81" s="92">
        <f>J81+I81</f>
        <v>534943.6</v>
      </c>
      <c r="H81" s="99">
        <f>G81*100/D81</f>
        <v>9.348891995805662</v>
      </c>
      <c r="I81" s="91"/>
      <c r="J81" s="92">
        <f>80970+216900.75+82068.8+1280+153724.05</f>
        <v>534943.6</v>
      </c>
      <c r="K81" s="91">
        <f>N81+M81</f>
        <v>1939932.65</v>
      </c>
      <c r="L81" s="116">
        <f>K81*100/D81</f>
        <v>33.90305225445648</v>
      </c>
      <c r="M81" s="91"/>
      <c r="N81" s="91">
        <f>346061+427796.45+24060+61644+5040+490126+582780+2425.2</f>
        <v>1939932.65</v>
      </c>
      <c r="O81" s="92">
        <f>D81-G81-K81</f>
        <v>3247123.7500000005</v>
      </c>
      <c r="P81" s="92">
        <f>O81*100/D81</f>
        <v>56.748055749737865</v>
      </c>
      <c r="Q81" s="91">
        <f>E81-I81-M81</f>
        <v>0</v>
      </c>
      <c r="R81" s="176">
        <f>F81-J81-N81</f>
        <v>3247123.7500000005</v>
      </c>
    </row>
    <row r="82" spans="1:18" s="112" customFormat="1" ht="16.5" customHeight="1">
      <c r="A82" s="100"/>
      <c r="B82" s="87" t="s">
        <v>49</v>
      </c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7.25" customHeight="1">
      <c r="A83" s="100">
        <v>2.7</v>
      </c>
      <c r="B83" s="86" t="s">
        <v>191</v>
      </c>
      <c r="C83" s="107"/>
      <c r="D83" s="108"/>
      <c r="E83" s="109"/>
      <c r="F83" s="108"/>
      <c r="G83" s="110"/>
      <c r="H83" s="99"/>
      <c r="I83" s="110"/>
      <c r="J83" s="111"/>
      <c r="K83" s="110"/>
      <c r="L83" s="111"/>
      <c r="M83" s="110"/>
      <c r="N83" s="110"/>
      <c r="O83" s="111"/>
      <c r="P83" s="111"/>
      <c r="Q83" s="110"/>
      <c r="R83" s="111"/>
    </row>
    <row r="84" spans="1:18" s="112" customFormat="1" ht="18.75" customHeight="1">
      <c r="A84" s="100"/>
      <c r="B84" s="87" t="s">
        <v>192</v>
      </c>
      <c r="C84" s="88" t="s">
        <v>194</v>
      </c>
      <c r="D84" s="117">
        <f>F84+E84</f>
        <v>9621000</v>
      </c>
      <c r="E84" s="98">
        <v>470000</v>
      </c>
      <c r="F84" s="117">
        <v>9151000</v>
      </c>
      <c r="G84" s="92">
        <f>J84+I84</f>
        <v>0</v>
      </c>
      <c r="H84" s="99">
        <f>G84*100/D84</f>
        <v>0</v>
      </c>
      <c r="I84" s="91"/>
      <c r="J84" s="92"/>
      <c r="K84" s="91">
        <f>N84+M84</f>
        <v>127245</v>
      </c>
      <c r="L84" s="116">
        <f>K84*100/D84</f>
        <v>1.3225756158403492</v>
      </c>
      <c r="M84" s="91"/>
      <c r="N84" s="91">
        <f>28850+98395</f>
        <v>127245</v>
      </c>
      <c r="O84" s="92">
        <f>D84-G84-K84</f>
        <v>9493755</v>
      </c>
      <c r="P84" s="92">
        <f>O84*100/D84</f>
        <v>98.67742438415965</v>
      </c>
      <c r="Q84" s="92">
        <f>E84-I84-M84</f>
        <v>470000</v>
      </c>
      <c r="R84" s="176">
        <f>F84-J84-N84</f>
        <v>9023755</v>
      </c>
    </row>
    <row r="85" spans="1:18" s="112" customFormat="1" ht="18.75" customHeight="1">
      <c r="A85" s="100"/>
      <c r="B85" s="87" t="s">
        <v>193</v>
      </c>
      <c r="C85" s="107"/>
      <c r="D85" s="108"/>
      <c r="E85" s="109"/>
      <c r="F85" s="108"/>
      <c r="G85" s="110"/>
      <c r="H85" s="99"/>
      <c r="I85" s="110"/>
      <c r="J85" s="111"/>
      <c r="K85" s="110"/>
      <c r="L85" s="111"/>
      <c r="M85" s="110"/>
      <c r="N85" s="110"/>
      <c r="O85" s="111"/>
      <c r="P85" s="111"/>
      <c r="Q85" s="110"/>
      <c r="R85" s="111"/>
    </row>
    <row r="86" spans="1:18" s="112" customFormat="1" ht="18.75" customHeight="1">
      <c r="A86" s="100">
        <v>2.8</v>
      </c>
      <c r="B86" s="86" t="s">
        <v>195</v>
      </c>
      <c r="C86" s="107"/>
      <c r="D86" s="108"/>
      <c r="E86" s="109"/>
      <c r="F86" s="108"/>
      <c r="G86" s="110"/>
      <c r="H86" s="99"/>
      <c r="I86" s="110"/>
      <c r="J86" s="111"/>
      <c r="K86" s="110"/>
      <c r="L86" s="111"/>
      <c r="M86" s="110"/>
      <c r="N86" s="110"/>
      <c r="O86" s="111"/>
      <c r="P86" s="111"/>
      <c r="Q86" s="110"/>
      <c r="R86" s="111"/>
    </row>
    <row r="87" spans="1:18" s="112" customFormat="1" ht="16.5" customHeight="1">
      <c r="A87" s="100"/>
      <c r="B87" s="87" t="s">
        <v>196</v>
      </c>
      <c r="C87" s="88" t="s">
        <v>194</v>
      </c>
      <c r="D87" s="117">
        <f>F87+E87</f>
        <v>9620000</v>
      </c>
      <c r="E87" s="98">
        <v>495000</v>
      </c>
      <c r="F87" s="117">
        <v>9125000</v>
      </c>
      <c r="G87" s="92">
        <f>J87+I87</f>
        <v>82170</v>
      </c>
      <c r="H87" s="99">
        <f>G87*100/D87</f>
        <v>0.8541580041580041</v>
      </c>
      <c r="I87" s="91"/>
      <c r="J87" s="92">
        <f>82170</f>
        <v>82170</v>
      </c>
      <c r="K87" s="91">
        <f>N87+M87</f>
        <v>98690</v>
      </c>
      <c r="L87" s="116">
        <f>K87*100/D87</f>
        <v>1.0258835758835758</v>
      </c>
      <c r="M87" s="91"/>
      <c r="N87" s="91">
        <f>98690</f>
        <v>98690</v>
      </c>
      <c r="O87" s="92">
        <f>D87-G87-K87</f>
        <v>9439140</v>
      </c>
      <c r="P87" s="92">
        <f>O87*100/D87</f>
        <v>98.11995841995842</v>
      </c>
      <c r="Q87" s="92">
        <f>E87-I87-M87</f>
        <v>495000</v>
      </c>
      <c r="R87" s="176">
        <f>F87-J87-N87</f>
        <v>8944140</v>
      </c>
    </row>
    <row r="88" spans="1:18" s="112" customFormat="1" ht="17.25" customHeight="1">
      <c r="A88" s="100"/>
      <c r="B88" s="87" t="s">
        <v>193</v>
      </c>
      <c r="C88" s="107"/>
      <c r="D88" s="108"/>
      <c r="E88" s="109"/>
      <c r="F88" s="108"/>
      <c r="G88" s="110"/>
      <c r="H88" s="99"/>
      <c r="I88" s="110"/>
      <c r="J88" s="111"/>
      <c r="K88" s="110"/>
      <c r="L88" s="111"/>
      <c r="M88" s="110"/>
      <c r="N88" s="110"/>
      <c r="O88" s="111"/>
      <c r="P88" s="111"/>
      <c r="Q88" s="110"/>
      <c r="R88" s="111"/>
    </row>
    <row r="89" spans="1:18" s="112" customFormat="1" ht="15.75" customHeight="1">
      <c r="A89" s="100"/>
      <c r="B89" s="177" t="s">
        <v>166</v>
      </c>
      <c r="C89" s="107"/>
      <c r="D89" s="108"/>
      <c r="E89" s="109"/>
      <c r="F89" s="108"/>
      <c r="G89" s="110"/>
      <c r="H89" s="99"/>
      <c r="I89" s="110"/>
      <c r="J89" s="111"/>
      <c r="K89" s="110"/>
      <c r="L89" s="111"/>
      <c r="M89" s="110"/>
      <c r="N89" s="110"/>
      <c r="O89" s="111"/>
      <c r="P89" s="111"/>
      <c r="Q89" s="110"/>
      <c r="R89" s="111"/>
    </row>
    <row r="90" spans="1:18" s="112" customFormat="1" ht="17.25" customHeight="1">
      <c r="A90" s="100"/>
      <c r="B90" s="86" t="s">
        <v>167</v>
      </c>
      <c r="C90" s="107"/>
      <c r="D90" s="108"/>
      <c r="E90" s="109"/>
      <c r="F90" s="108"/>
      <c r="G90" s="110"/>
      <c r="H90" s="99"/>
      <c r="I90" s="110"/>
      <c r="J90" s="111"/>
      <c r="K90" s="110"/>
      <c r="L90" s="111"/>
      <c r="M90" s="110"/>
      <c r="N90" s="110"/>
      <c r="O90" s="111"/>
      <c r="P90" s="111"/>
      <c r="Q90" s="110"/>
      <c r="R90" s="111"/>
    </row>
    <row r="91" spans="1:18" s="112" customFormat="1" ht="18" customHeight="1">
      <c r="A91" s="100">
        <v>2.9</v>
      </c>
      <c r="B91" s="87" t="s">
        <v>154</v>
      </c>
      <c r="C91" s="88" t="s">
        <v>157</v>
      </c>
      <c r="D91" s="117">
        <f>F91+E91</f>
        <v>3401000</v>
      </c>
      <c r="E91" s="98"/>
      <c r="F91" s="117">
        <f>3392000+9000</f>
        <v>3401000</v>
      </c>
      <c r="G91" s="92">
        <f>J91+I91</f>
        <v>245866.7</v>
      </c>
      <c r="H91" s="99">
        <f>G91*100/D91</f>
        <v>7.229247280211703</v>
      </c>
      <c r="I91" s="91"/>
      <c r="J91" s="92">
        <f>146999.7+98867</f>
        <v>245866.7</v>
      </c>
      <c r="K91" s="91">
        <f>N91+M91</f>
        <v>725256</v>
      </c>
      <c r="L91" s="116">
        <f>K91*100/D91</f>
        <v>21.324786827403706</v>
      </c>
      <c r="M91" s="91"/>
      <c r="N91" s="91">
        <f>20000+119743+178565+132650+274298</f>
        <v>725256</v>
      </c>
      <c r="O91" s="92">
        <f>D91-G91-K91</f>
        <v>2429877.3</v>
      </c>
      <c r="P91" s="92">
        <f>O91*100/D91</f>
        <v>71.44596589238458</v>
      </c>
      <c r="Q91" s="91">
        <f>E91-I91-M91</f>
        <v>0</v>
      </c>
      <c r="R91" s="92">
        <f>F91-J91-N91</f>
        <v>2429877.3</v>
      </c>
    </row>
    <row r="92" spans="1:18" s="112" customFormat="1" ht="18" customHeight="1">
      <c r="A92" s="100"/>
      <c r="B92" s="87" t="s">
        <v>155</v>
      </c>
      <c r="C92" s="107"/>
      <c r="D92" s="108"/>
      <c r="E92" s="109"/>
      <c r="F92" s="108"/>
      <c r="G92" s="110"/>
      <c r="H92" s="99"/>
      <c r="I92" s="110"/>
      <c r="J92" s="111"/>
      <c r="K92" s="110"/>
      <c r="L92" s="111"/>
      <c r="M92" s="110"/>
      <c r="N92" s="110"/>
      <c r="O92" s="111"/>
      <c r="P92" s="111"/>
      <c r="Q92" s="110"/>
      <c r="R92" s="111"/>
    </row>
    <row r="93" spans="1:18" s="112" customFormat="1" ht="18" customHeight="1">
      <c r="A93" s="94"/>
      <c r="B93" s="95" t="s">
        <v>156</v>
      </c>
      <c r="C93" s="96"/>
      <c r="D93" s="126"/>
      <c r="E93" s="127"/>
      <c r="F93" s="126"/>
      <c r="G93" s="128"/>
      <c r="H93" s="129"/>
      <c r="I93" s="128"/>
      <c r="J93" s="130"/>
      <c r="K93" s="128"/>
      <c r="L93" s="130"/>
      <c r="M93" s="128"/>
      <c r="N93" s="128"/>
      <c r="O93" s="130"/>
      <c r="P93" s="130"/>
      <c r="Q93" s="128"/>
      <c r="R93" s="130"/>
    </row>
    <row r="94" spans="1:18" s="112" customFormat="1" ht="18.75" customHeight="1">
      <c r="A94" s="118"/>
      <c r="B94" s="162" t="s">
        <v>137</v>
      </c>
      <c r="C94" s="141"/>
      <c r="D94" s="142"/>
      <c r="E94" s="143"/>
      <c r="F94" s="142"/>
      <c r="G94" s="144"/>
      <c r="H94" s="145"/>
      <c r="I94" s="144"/>
      <c r="J94" s="146"/>
      <c r="K94" s="144"/>
      <c r="L94" s="146"/>
      <c r="M94" s="144"/>
      <c r="N94" s="144"/>
      <c r="O94" s="146"/>
      <c r="P94" s="146"/>
      <c r="Q94" s="144"/>
      <c r="R94" s="146"/>
    </row>
    <row r="95" spans="1:18" s="112" customFormat="1" ht="18.75" customHeight="1">
      <c r="A95" s="100"/>
      <c r="B95" s="86" t="s">
        <v>134</v>
      </c>
      <c r="C95" s="107"/>
      <c r="D95" s="108"/>
      <c r="E95" s="109"/>
      <c r="F95" s="108"/>
      <c r="G95" s="110"/>
      <c r="H95" s="99"/>
      <c r="I95" s="110"/>
      <c r="J95" s="111"/>
      <c r="K95" s="110"/>
      <c r="L95" s="111"/>
      <c r="M95" s="110"/>
      <c r="N95" s="110"/>
      <c r="O95" s="111"/>
      <c r="P95" s="111"/>
      <c r="Q95" s="110"/>
      <c r="R95" s="111"/>
    </row>
    <row r="96" spans="1:18" s="112" customFormat="1" ht="18.75" customHeight="1">
      <c r="A96" s="88" t="s">
        <v>197</v>
      </c>
      <c r="B96" s="87" t="s">
        <v>135</v>
      </c>
      <c r="C96" s="88" t="s">
        <v>128</v>
      </c>
      <c r="D96" s="117">
        <f>F96+E96</f>
        <v>19382000</v>
      </c>
      <c r="E96" s="98"/>
      <c r="F96" s="117">
        <v>19382000</v>
      </c>
      <c r="G96" s="92">
        <f>J96+I96</f>
        <v>1610746.28</v>
      </c>
      <c r="H96" s="99">
        <f>G96*100/D96</f>
        <v>8.310526674233826</v>
      </c>
      <c r="I96" s="91"/>
      <c r="J96" s="92">
        <f>71922.6+68520+166602+99000+240000+581286.38+246510+136905.3</f>
        <v>1610746.28</v>
      </c>
      <c r="K96" s="92">
        <f>N96+M96</f>
        <v>8502300.91</v>
      </c>
      <c r="L96" s="116">
        <f>K96*100/D96</f>
        <v>43.86699468579094</v>
      </c>
      <c r="M96" s="91"/>
      <c r="N96" s="92">
        <f>2880346.91+2595072+2533347+40115+453420</f>
        <v>8502300.91</v>
      </c>
      <c r="O96" s="92">
        <f>D96-G96-K96</f>
        <v>9268952.809999999</v>
      </c>
      <c r="P96" s="92">
        <f>O96*100/D96</f>
        <v>47.82247863997523</v>
      </c>
      <c r="Q96" s="91">
        <f>E96-I96-M96</f>
        <v>0</v>
      </c>
      <c r="R96" s="176">
        <f>F96-J96-N96</f>
        <v>9268952.809999999</v>
      </c>
    </row>
    <row r="97" spans="1:18" s="112" customFormat="1" ht="18.75" customHeight="1">
      <c r="A97" s="100"/>
      <c r="B97" s="87" t="s">
        <v>136</v>
      </c>
      <c r="C97" s="107"/>
      <c r="D97" s="108"/>
      <c r="E97" s="109"/>
      <c r="F97" s="108"/>
      <c r="G97" s="110"/>
      <c r="H97" s="99"/>
      <c r="I97" s="110"/>
      <c r="J97" s="111"/>
      <c r="K97" s="110"/>
      <c r="L97" s="111"/>
      <c r="M97" s="110"/>
      <c r="N97" s="110"/>
      <c r="O97" s="111"/>
      <c r="P97" s="111"/>
      <c r="Q97" s="110"/>
      <c r="R97" s="116"/>
    </row>
    <row r="98" spans="1:18" s="112" customFormat="1" ht="18.75" customHeight="1">
      <c r="A98" s="100"/>
      <c r="B98" s="101" t="s">
        <v>67</v>
      </c>
      <c r="C98" s="119"/>
      <c r="D98" s="159">
        <f>F98+E98</f>
        <v>97495000</v>
      </c>
      <c r="E98" s="160">
        <f>E64+E67+E70+E74+E78+E81+E84+E87+E91+E96</f>
        <v>1453900</v>
      </c>
      <c r="F98" s="159">
        <f>F64+F67+F70+F74+F78+F81+F84+F87+F91+F96</f>
        <v>96041100</v>
      </c>
      <c r="G98" s="161">
        <f>J98+I98</f>
        <v>4609695.2700000005</v>
      </c>
      <c r="H98" s="105">
        <f>G98*100/D98</f>
        <v>4.7281350530796455</v>
      </c>
      <c r="I98" s="161">
        <f>I64+I67+I70+I74+I78+I81+I84+I87+I91+I96</f>
        <v>0</v>
      </c>
      <c r="J98" s="105">
        <f>J64+J67+J70+J74+J78+J81+J84+J87+J91+J96</f>
        <v>4609695.2700000005</v>
      </c>
      <c r="K98" s="161">
        <f>N98+M98</f>
        <v>12005097.66</v>
      </c>
      <c r="L98" s="105">
        <f>K98*100/D98</f>
        <v>12.313552141135442</v>
      </c>
      <c r="M98" s="161">
        <f>M64+M67+M70+M74+M78+M81+M84+M87+M91+M96</f>
        <v>0</v>
      </c>
      <c r="N98" s="161">
        <f>N64+N67+N70+N74+N78+N81+N84+N87+N91+N96</f>
        <v>12005097.66</v>
      </c>
      <c r="O98" s="105">
        <f>D98-G98-K98</f>
        <v>80880207.07000001</v>
      </c>
      <c r="P98" s="105">
        <f>O98*100/D98</f>
        <v>82.95831280578493</v>
      </c>
      <c r="Q98" s="196">
        <f>E98-I98-M98</f>
        <v>1453900</v>
      </c>
      <c r="R98" s="114">
        <f>F98-J98-N98</f>
        <v>79426307.07000001</v>
      </c>
    </row>
    <row r="99" spans="1:18" ht="18.75" customHeight="1">
      <c r="A99" s="158">
        <v>3</v>
      </c>
      <c r="B99" s="177" t="s">
        <v>201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191"/>
    </row>
    <row r="100" spans="1:18" s="112" customFormat="1" ht="19.5" customHeight="1">
      <c r="A100" s="100"/>
      <c r="B100" s="86" t="s">
        <v>178</v>
      </c>
      <c r="C100" s="107"/>
      <c r="D100" s="108"/>
      <c r="E100" s="109"/>
      <c r="F100" s="108"/>
      <c r="G100" s="110"/>
      <c r="H100" s="99"/>
      <c r="I100" s="110"/>
      <c r="J100" s="111"/>
      <c r="K100" s="110"/>
      <c r="L100" s="99"/>
      <c r="M100" s="110"/>
      <c r="N100" s="110"/>
      <c r="O100" s="111"/>
      <c r="P100" s="111"/>
      <c r="Q100" s="110"/>
      <c r="R100" s="116"/>
    </row>
    <row r="101" spans="1:18" s="112" customFormat="1" ht="19.5" customHeight="1">
      <c r="A101" s="88" t="s">
        <v>142</v>
      </c>
      <c r="B101" s="87" t="s">
        <v>179</v>
      </c>
      <c r="C101" s="88" t="s">
        <v>128</v>
      </c>
      <c r="D101" s="117">
        <f>F101+E101</f>
        <v>8800000</v>
      </c>
      <c r="E101" s="98"/>
      <c r="F101" s="117">
        <v>8800000</v>
      </c>
      <c r="G101" s="92">
        <f>J101+I101</f>
        <v>2423602.55</v>
      </c>
      <c r="H101" s="99">
        <f>G101*100/D101</f>
        <v>27.540938068181816</v>
      </c>
      <c r="I101" s="91"/>
      <c r="J101" s="92">
        <f>81420+247230+65337+247230+139529.7+243630+417520+3300+208450.15+43225.7+483100+243630</f>
        <v>2423602.55</v>
      </c>
      <c r="K101" s="91">
        <f>N101+M101</f>
        <v>92081</v>
      </c>
      <c r="L101" s="116">
        <f>K101*100/D101</f>
        <v>1.046375</v>
      </c>
      <c r="M101" s="91"/>
      <c r="N101" s="92">
        <f>92081</f>
        <v>92081</v>
      </c>
      <c r="O101" s="92">
        <f>D101-G101-K101</f>
        <v>6284316.45</v>
      </c>
      <c r="P101" s="92">
        <f>O101*100/D101</f>
        <v>71.41268693181819</v>
      </c>
      <c r="Q101" s="91">
        <f>E101-I101-M101</f>
        <v>0</v>
      </c>
      <c r="R101" s="176">
        <f>F101-J101-N101</f>
        <v>6284316.45</v>
      </c>
    </row>
    <row r="102" spans="1:18" s="112" customFormat="1" ht="19.5" customHeight="1">
      <c r="A102" s="100"/>
      <c r="B102" s="87" t="s">
        <v>180</v>
      </c>
      <c r="C102" s="107"/>
      <c r="D102" s="147"/>
      <c r="E102" s="148"/>
      <c r="F102" s="147"/>
      <c r="G102" s="110"/>
      <c r="H102" s="99"/>
      <c r="I102" s="110"/>
      <c r="J102" s="111"/>
      <c r="K102" s="110"/>
      <c r="L102" s="111"/>
      <c r="M102" s="110"/>
      <c r="N102" s="110"/>
      <c r="O102" s="111"/>
      <c r="P102" s="111"/>
      <c r="Q102" s="110"/>
      <c r="R102" s="116"/>
    </row>
    <row r="103" spans="1:18" ht="19.5" customHeight="1">
      <c r="A103" s="187"/>
      <c r="B103" s="188" t="s">
        <v>181</v>
      </c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9"/>
    </row>
    <row r="104" spans="1:18" s="112" customFormat="1" ht="19.5" customHeight="1">
      <c r="A104" s="100"/>
      <c r="B104" s="101" t="s">
        <v>182</v>
      </c>
      <c r="C104" s="119"/>
      <c r="D104" s="159">
        <f>F104+E104</f>
        <v>8800000</v>
      </c>
      <c r="E104" s="160">
        <f>E101</f>
        <v>0</v>
      </c>
      <c r="F104" s="159">
        <f>F101</f>
        <v>8800000</v>
      </c>
      <c r="G104" s="161">
        <f>J104+I104</f>
        <v>2423602.55</v>
      </c>
      <c r="H104" s="105">
        <f>G104*100/D104</f>
        <v>27.540938068181816</v>
      </c>
      <c r="I104" s="161">
        <f>I101</f>
        <v>0</v>
      </c>
      <c r="J104" s="105">
        <f>J101</f>
        <v>2423602.55</v>
      </c>
      <c r="K104" s="161">
        <f>N104+M104</f>
        <v>92081</v>
      </c>
      <c r="L104" s="105">
        <f>K104*100/D104</f>
        <v>1.046375</v>
      </c>
      <c r="M104" s="161">
        <f>M101</f>
        <v>0</v>
      </c>
      <c r="N104" s="161">
        <f>N101</f>
        <v>92081</v>
      </c>
      <c r="O104" s="105">
        <f>D104-G104-K104</f>
        <v>6284316.45</v>
      </c>
      <c r="P104" s="105">
        <f>O104*100/D104</f>
        <v>71.41268693181819</v>
      </c>
      <c r="Q104" s="149">
        <f>E104-I104-M104</f>
        <v>0</v>
      </c>
      <c r="R104" s="114">
        <f>F104-J104-N104</f>
        <v>6284316.45</v>
      </c>
    </row>
    <row r="105" spans="1:18" s="112" customFormat="1" ht="15.75" customHeight="1">
      <c r="A105" s="150"/>
      <c r="B105" s="131" t="s">
        <v>166</v>
      </c>
      <c r="C105" s="151"/>
      <c r="D105" s="152"/>
      <c r="E105" s="153"/>
      <c r="F105" s="152"/>
      <c r="G105" s="154"/>
      <c r="H105" s="155"/>
      <c r="I105" s="154"/>
      <c r="J105" s="156"/>
      <c r="K105" s="154"/>
      <c r="L105" s="156"/>
      <c r="M105" s="154"/>
      <c r="N105" s="154"/>
      <c r="O105" s="156"/>
      <c r="P105" s="156"/>
      <c r="Q105" s="154"/>
      <c r="R105" s="156"/>
    </row>
    <row r="106" spans="1:18" s="112" customFormat="1" ht="18" customHeight="1">
      <c r="A106" s="100"/>
      <c r="B106" s="86" t="s">
        <v>93</v>
      </c>
      <c r="C106" s="107"/>
      <c r="D106" s="108"/>
      <c r="E106" s="109"/>
      <c r="F106" s="108"/>
      <c r="G106" s="110"/>
      <c r="H106" s="99"/>
      <c r="I106" s="110"/>
      <c r="J106" s="111"/>
      <c r="K106" s="110"/>
      <c r="L106" s="111"/>
      <c r="M106" s="110"/>
      <c r="N106" s="110"/>
      <c r="O106" s="111"/>
      <c r="P106" s="111"/>
      <c r="Q106" s="110"/>
      <c r="R106" s="111"/>
    </row>
    <row r="107" spans="1:18" s="112" customFormat="1" ht="18" customHeight="1">
      <c r="A107" s="100">
        <v>1.2</v>
      </c>
      <c r="B107" s="87" t="s">
        <v>83</v>
      </c>
      <c r="C107" s="88" t="s">
        <v>203</v>
      </c>
      <c r="D107" s="117">
        <f>F107+E107</f>
        <v>190000</v>
      </c>
      <c r="E107" s="98"/>
      <c r="F107" s="117">
        <v>190000</v>
      </c>
      <c r="G107" s="92">
        <f>J107+I107</f>
        <v>94708.95</v>
      </c>
      <c r="H107" s="99">
        <f>G107*100/D107</f>
        <v>49.84681578947369</v>
      </c>
      <c r="I107" s="92"/>
      <c r="J107" s="92">
        <f>17310+72868.95+4530</f>
        <v>94708.95</v>
      </c>
      <c r="K107" s="92">
        <f>N107+M107</f>
        <v>0</v>
      </c>
      <c r="L107" s="99">
        <f>K107*100/D107</f>
        <v>0</v>
      </c>
      <c r="M107" s="92"/>
      <c r="N107" s="92"/>
      <c r="O107" s="92">
        <f>D107-G107-K107</f>
        <v>95291.05</v>
      </c>
      <c r="P107" s="92">
        <f>O107*100/D107</f>
        <v>50.15318421052631</v>
      </c>
      <c r="Q107" s="91">
        <f>E107-I107-M107</f>
        <v>0</v>
      </c>
      <c r="R107" s="92">
        <f>F107-J107-N107</f>
        <v>95291.05</v>
      </c>
    </row>
    <row r="108" spans="1:18" s="112" customFormat="1" ht="18" customHeight="1">
      <c r="A108" s="100"/>
      <c r="B108" s="87" t="s">
        <v>88</v>
      </c>
      <c r="C108" s="107"/>
      <c r="D108" s="147"/>
      <c r="E108" s="148"/>
      <c r="F108" s="147"/>
      <c r="G108" s="197"/>
      <c r="H108" s="99"/>
      <c r="I108" s="197"/>
      <c r="J108" s="99"/>
      <c r="K108" s="197"/>
      <c r="L108" s="99"/>
      <c r="M108" s="197"/>
      <c r="N108" s="197"/>
      <c r="O108" s="99"/>
      <c r="P108" s="111"/>
      <c r="Q108" s="110"/>
      <c r="R108" s="111"/>
    </row>
    <row r="109" spans="1:18" s="112" customFormat="1" ht="16.5" customHeight="1">
      <c r="A109" s="100">
        <v>1.3</v>
      </c>
      <c r="B109" s="86" t="s">
        <v>94</v>
      </c>
      <c r="C109" s="107"/>
      <c r="D109" s="147"/>
      <c r="E109" s="148"/>
      <c r="F109" s="147"/>
      <c r="G109" s="197"/>
      <c r="H109" s="99"/>
      <c r="I109" s="197"/>
      <c r="J109" s="99"/>
      <c r="K109" s="197"/>
      <c r="L109" s="99"/>
      <c r="M109" s="197"/>
      <c r="N109" s="197"/>
      <c r="O109" s="99"/>
      <c r="P109" s="111"/>
      <c r="Q109" s="110"/>
      <c r="R109" s="111"/>
    </row>
    <row r="110" spans="1:18" s="112" customFormat="1" ht="18" customHeight="1">
      <c r="A110" s="100"/>
      <c r="B110" s="87" t="s">
        <v>84</v>
      </c>
      <c r="C110" s="88" t="s">
        <v>203</v>
      </c>
      <c r="D110" s="117">
        <f>F110+E110</f>
        <v>400000</v>
      </c>
      <c r="E110" s="98"/>
      <c r="F110" s="117">
        <v>400000</v>
      </c>
      <c r="G110" s="92">
        <f>J110+I110</f>
        <v>140295.75</v>
      </c>
      <c r="H110" s="99">
        <f>G110*100/D110</f>
        <v>35.0739375</v>
      </c>
      <c r="I110" s="92"/>
      <c r="J110" s="92">
        <f>34620+105675.75</f>
        <v>140295.75</v>
      </c>
      <c r="K110" s="92">
        <f>N110+M110</f>
        <v>0</v>
      </c>
      <c r="L110" s="99">
        <f>K110*100/D110</f>
        <v>0</v>
      </c>
      <c r="M110" s="92"/>
      <c r="N110" s="92"/>
      <c r="O110" s="92">
        <f>D110-G110-K110</f>
        <v>259704.25</v>
      </c>
      <c r="P110" s="92">
        <f>O110*100/D110</f>
        <v>64.9260625</v>
      </c>
      <c r="Q110" s="91">
        <f>E110-I110-M110</f>
        <v>0</v>
      </c>
      <c r="R110" s="92">
        <f>F110-J110-N110</f>
        <v>259704.25</v>
      </c>
    </row>
    <row r="111" spans="1:18" s="112" customFormat="1" ht="18" customHeight="1">
      <c r="A111" s="100"/>
      <c r="B111" s="87" t="s">
        <v>85</v>
      </c>
      <c r="C111" s="107"/>
      <c r="D111" s="147"/>
      <c r="E111" s="148"/>
      <c r="F111" s="147"/>
      <c r="G111" s="197"/>
      <c r="H111" s="99"/>
      <c r="I111" s="197"/>
      <c r="J111" s="99"/>
      <c r="K111" s="197"/>
      <c r="L111" s="99"/>
      <c r="M111" s="197"/>
      <c r="N111" s="197"/>
      <c r="O111" s="99"/>
      <c r="P111" s="111"/>
      <c r="Q111" s="110"/>
      <c r="R111" s="111"/>
    </row>
    <row r="112" spans="1:18" s="112" customFormat="1" ht="18" customHeight="1">
      <c r="A112" s="100">
        <v>1.4</v>
      </c>
      <c r="B112" s="86" t="s">
        <v>96</v>
      </c>
      <c r="C112" s="107"/>
      <c r="D112" s="147"/>
      <c r="E112" s="148"/>
      <c r="F112" s="147"/>
      <c r="G112" s="197"/>
      <c r="H112" s="99"/>
      <c r="I112" s="197"/>
      <c r="J112" s="99"/>
      <c r="K112" s="197"/>
      <c r="L112" s="99"/>
      <c r="M112" s="197"/>
      <c r="N112" s="197"/>
      <c r="O112" s="99"/>
      <c r="P112" s="111"/>
      <c r="Q112" s="110"/>
      <c r="R112" s="111"/>
    </row>
    <row r="113" spans="1:18" s="112" customFormat="1" ht="18" customHeight="1">
      <c r="A113" s="100"/>
      <c r="B113" s="87" t="s">
        <v>81</v>
      </c>
      <c r="C113" s="88" t="s">
        <v>203</v>
      </c>
      <c r="D113" s="117">
        <f>F113+E113</f>
        <v>400000</v>
      </c>
      <c r="E113" s="98"/>
      <c r="F113" s="117">
        <v>400000</v>
      </c>
      <c r="G113" s="92">
        <f>J113+I113</f>
        <v>290531.15</v>
      </c>
      <c r="H113" s="99">
        <f>G113*100/D113</f>
        <v>72.6327875</v>
      </c>
      <c r="I113" s="92"/>
      <c r="J113" s="92">
        <f>192780+46371.15+17240+34140</f>
        <v>290531.15</v>
      </c>
      <c r="K113" s="92">
        <f>N113+M113</f>
        <v>26845.2</v>
      </c>
      <c r="L113" s="99">
        <f>K113*100/D113</f>
        <v>6.7113</v>
      </c>
      <c r="M113" s="92"/>
      <c r="N113" s="92">
        <f>19625.2+7220</f>
        <v>26845.2</v>
      </c>
      <c r="O113" s="92">
        <f>D113-G113-K113</f>
        <v>82623.64999999998</v>
      </c>
      <c r="P113" s="92">
        <f>O113*100/D113</f>
        <v>20.655912499999996</v>
      </c>
      <c r="Q113" s="91">
        <f>E113-I113-M113</f>
        <v>0</v>
      </c>
      <c r="R113" s="92">
        <f>F113-J113-N113</f>
        <v>82623.64999999998</v>
      </c>
    </row>
    <row r="114" spans="1:18" s="112" customFormat="1" ht="18" customHeight="1">
      <c r="A114" s="100"/>
      <c r="B114" s="87" t="s">
        <v>95</v>
      </c>
      <c r="C114" s="107"/>
      <c r="D114" s="147"/>
      <c r="E114" s="148"/>
      <c r="F114" s="147"/>
      <c r="G114" s="197"/>
      <c r="H114" s="99"/>
      <c r="I114" s="197"/>
      <c r="J114" s="99"/>
      <c r="K114" s="197"/>
      <c r="L114" s="99"/>
      <c r="M114" s="197"/>
      <c r="N114" s="197"/>
      <c r="O114" s="99"/>
      <c r="P114" s="111"/>
      <c r="Q114" s="110"/>
      <c r="R114" s="111"/>
    </row>
    <row r="115" spans="1:19" s="112" customFormat="1" ht="18" customHeight="1">
      <c r="A115" s="100">
        <v>1.5</v>
      </c>
      <c r="B115" s="86" t="s">
        <v>97</v>
      </c>
      <c r="C115" s="107"/>
      <c r="D115" s="147"/>
      <c r="E115" s="148"/>
      <c r="F115" s="147"/>
      <c r="G115" s="197"/>
      <c r="H115" s="99"/>
      <c r="I115" s="197"/>
      <c r="J115" s="99"/>
      <c r="K115" s="197"/>
      <c r="L115" s="99"/>
      <c r="M115" s="197"/>
      <c r="N115" s="197"/>
      <c r="O115" s="99"/>
      <c r="P115" s="111"/>
      <c r="Q115" s="110"/>
      <c r="R115" s="111"/>
      <c r="S115" s="112">
        <v>4</v>
      </c>
    </row>
    <row r="116" spans="1:18" s="112" customFormat="1" ht="18" customHeight="1">
      <c r="A116" s="100"/>
      <c r="B116" s="87" t="s">
        <v>82</v>
      </c>
      <c r="C116" s="88" t="s">
        <v>203</v>
      </c>
      <c r="D116" s="117">
        <f>F116+E116</f>
        <v>140000</v>
      </c>
      <c r="E116" s="98"/>
      <c r="F116" s="117">
        <v>140000</v>
      </c>
      <c r="G116" s="92">
        <f>J116+I116</f>
        <v>81894.5</v>
      </c>
      <c r="H116" s="99">
        <f>G116*100/D116</f>
        <v>58.496071428571426</v>
      </c>
      <c r="I116" s="92"/>
      <c r="J116" s="92">
        <f>11540+4110+66244.5</f>
        <v>81894.5</v>
      </c>
      <c r="K116" s="92">
        <f>N116+M116</f>
        <v>0</v>
      </c>
      <c r="L116" s="99">
        <f>K116*100/D116</f>
        <v>0</v>
      </c>
      <c r="M116" s="92"/>
      <c r="N116" s="92"/>
      <c r="O116" s="92">
        <f>D116-G116-K116</f>
        <v>58105.5</v>
      </c>
      <c r="P116" s="92">
        <f>O116*100/D116</f>
        <v>41.503928571428574</v>
      </c>
      <c r="Q116" s="91">
        <f>E116-I116-M116</f>
        <v>0</v>
      </c>
      <c r="R116" s="92">
        <f>F116-J116-N116</f>
        <v>58105.5</v>
      </c>
    </row>
    <row r="117" spans="1:18" s="112" customFormat="1" ht="18" customHeight="1">
      <c r="A117" s="100"/>
      <c r="B117" s="87" t="s">
        <v>88</v>
      </c>
      <c r="C117" s="107"/>
      <c r="D117" s="147"/>
      <c r="E117" s="148"/>
      <c r="F117" s="147"/>
      <c r="G117" s="197"/>
      <c r="H117" s="99"/>
      <c r="I117" s="197"/>
      <c r="J117" s="99"/>
      <c r="K117" s="197"/>
      <c r="L117" s="99"/>
      <c r="M117" s="197"/>
      <c r="N117" s="197"/>
      <c r="O117" s="99"/>
      <c r="P117" s="111"/>
      <c r="Q117" s="110"/>
      <c r="R117" s="111"/>
    </row>
    <row r="118" spans="1:18" s="112" customFormat="1" ht="18.75" customHeight="1">
      <c r="A118" s="163"/>
      <c r="B118" s="192" t="s">
        <v>79</v>
      </c>
      <c r="C118" s="193"/>
      <c r="D118" s="198">
        <f>F118+E118</f>
        <v>1130000</v>
      </c>
      <c r="E118" s="199">
        <f>E107+E110+E113+E116</f>
        <v>0</v>
      </c>
      <c r="F118" s="198">
        <f>F107+F110+F113+F116</f>
        <v>1130000</v>
      </c>
      <c r="G118" s="200">
        <f>J118+I118</f>
        <v>607430.3500000001</v>
      </c>
      <c r="H118" s="195">
        <f>G118*100/D118</f>
        <v>53.7548982300885</v>
      </c>
      <c r="I118" s="200">
        <f>I107+I110+I113+I116</f>
        <v>0</v>
      </c>
      <c r="J118" s="195">
        <f>J107+J110+J113+J116</f>
        <v>607430.3500000001</v>
      </c>
      <c r="K118" s="200">
        <f>N118+M118</f>
        <v>26845.2</v>
      </c>
      <c r="L118" s="202">
        <f>K118*100/D118</f>
        <v>2.3756814159292037</v>
      </c>
      <c r="M118" s="200">
        <f>M107+M110+M113+M116</f>
        <v>0</v>
      </c>
      <c r="N118" s="200">
        <f>N107+N110+N113+N116</f>
        <v>26845.2</v>
      </c>
      <c r="O118" s="195">
        <f>D118-G118-K118</f>
        <v>495724.4499999999</v>
      </c>
      <c r="P118" s="195">
        <f>O118*100/D118</f>
        <v>43.86942035398229</v>
      </c>
      <c r="Q118" s="194"/>
      <c r="R118" s="195">
        <f>F118-J118-N118</f>
        <v>495724.4499999999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10" sqref="A10:IV22"/>
    </sheetView>
  </sheetViews>
  <sheetFormatPr defaultColWidth="9.140625" defaultRowHeight="12.75"/>
  <cols>
    <col min="1" max="1" width="4.28125" style="77" customWidth="1"/>
    <col min="2" max="2" width="33.140625" style="77" customWidth="1"/>
    <col min="3" max="3" width="7.140625" style="77" customWidth="1"/>
    <col min="4" max="4" width="10.57421875" style="77" customWidth="1"/>
    <col min="5" max="5" width="8.7109375" style="77" customWidth="1"/>
    <col min="6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7109375" style="77" customWidth="1"/>
    <col min="19" max="16384" width="9.140625" style="77" customWidth="1"/>
  </cols>
  <sheetData>
    <row r="1" spans="1:18" ht="15.75">
      <c r="A1" s="207" t="s">
        <v>124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ht="15.75" customHeight="1">
      <c r="A2" s="208" t="s">
        <v>0</v>
      </c>
      <c r="B2" s="208" t="s">
        <v>1</v>
      </c>
      <c r="C2" s="211" t="s">
        <v>2</v>
      </c>
      <c r="D2" s="210" t="s">
        <v>3</v>
      </c>
      <c r="E2" s="210"/>
      <c r="F2" s="210"/>
      <c r="G2" s="210" t="s">
        <v>7</v>
      </c>
      <c r="H2" s="210"/>
      <c r="I2" s="210"/>
      <c r="J2" s="210"/>
      <c r="K2" s="210" t="s">
        <v>9</v>
      </c>
      <c r="L2" s="210"/>
      <c r="M2" s="210"/>
      <c r="N2" s="210"/>
      <c r="O2" s="210" t="s">
        <v>10</v>
      </c>
      <c r="P2" s="210"/>
      <c r="Q2" s="210"/>
      <c r="R2" s="210"/>
    </row>
    <row r="3" spans="1:18" ht="14.25" customHeight="1">
      <c r="A3" s="208"/>
      <c r="B3" s="208"/>
      <c r="C3" s="211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18" customHeight="1">
      <c r="A4" s="79"/>
      <c r="B4" s="80" t="s">
        <v>11</v>
      </c>
      <c r="C4" s="81"/>
      <c r="D4" s="82">
        <f>E4+F4</f>
        <v>76204000</v>
      </c>
      <c r="E4" s="113">
        <f>SUM(E9+E22+E41+E84)</f>
        <v>400000</v>
      </c>
      <c r="F4" s="83">
        <f>SUM(F9+F22+F41+F84)</f>
        <v>75804000</v>
      </c>
      <c r="G4" s="84">
        <f>I4+J4</f>
        <v>0</v>
      </c>
      <c r="H4" s="84">
        <f>G4*100/D4</f>
        <v>0</v>
      </c>
      <c r="I4" s="83">
        <f>SUM(I9+I22+I41+I84)</f>
        <v>0</v>
      </c>
      <c r="J4" s="83">
        <f>SUM(J9+J22+J41+J84)</f>
        <v>0</v>
      </c>
      <c r="K4" s="84">
        <f>M4+N4</f>
        <v>0</v>
      </c>
      <c r="L4" s="84">
        <f>K4*100/D4</f>
        <v>0</v>
      </c>
      <c r="M4" s="83">
        <f>SUM(M9+M22+M41+M84)</f>
        <v>0</v>
      </c>
      <c r="N4" s="83">
        <f>SUM(N9+N22+N41+N84)</f>
        <v>0</v>
      </c>
      <c r="O4" s="83">
        <f>Q4+R4</f>
        <v>76204000</v>
      </c>
      <c r="P4" s="83">
        <f>O4*100/D4</f>
        <v>100</v>
      </c>
      <c r="Q4" s="83">
        <f>SUM(Q9+Q22+Q41+Q84)</f>
        <v>400000</v>
      </c>
      <c r="R4" s="113">
        <f>SUM(R9+R22+R41+R84)</f>
        <v>75804000</v>
      </c>
    </row>
    <row r="5" spans="1:18" ht="15.75" customHeight="1">
      <c r="A5" s="157">
        <v>1</v>
      </c>
      <c r="B5" s="120" t="s">
        <v>87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5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0</v>
      </c>
      <c r="H7" s="99">
        <f>G7*100/D7</f>
        <v>0</v>
      </c>
      <c r="I7" s="91"/>
      <c r="J7" s="92"/>
      <c r="K7" s="91">
        <f>N7+M7</f>
        <v>0</v>
      </c>
      <c r="L7" s="116">
        <f>K7*100/D7</f>
        <v>0</v>
      </c>
      <c r="M7" s="91"/>
      <c r="N7" s="91"/>
      <c r="O7" s="91">
        <f>D7-G7-K7</f>
        <v>400000</v>
      </c>
      <c r="P7" s="92">
        <f>O7*100/D7</f>
        <v>100</v>
      </c>
      <c r="Q7" s="91">
        <f>E7-I7-M7</f>
        <v>0</v>
      </c>
      <c r="R7" s="92">
        <f>F7-J7-N7</f>
        <v>400000</v>
      </c>
    </row>
    <row r="8" spans="1:18" s="112" customFormat="1" ht="15.75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5.75" customHeight="1">
      <c r="A9" s="100"/>
      <c r="B9" s="101" t="s">
        <v>55</v>
      </c>
      <c r="C9" s="119"/>
      <c r="D9" s="102">
        <f>F9+E9</f>
        <v>400000</v>
      </c>
      <c r="E9" s="103">
        <f>E7</f>
        <v>0</v>
      </c>
      <c r="F9" s="102">
        <f>F7</f>
        <v>400000</v>
      </c>
      <c r="G9" s="104">
        <f>J9+I9</f>
        <v>0</v>
      </c>
      <c r="H9" s="114">
        <f>G9*100/D9</f>
        <v>0</v>
      </c>
      <c r="I9" s="104"/>
      <c r="J9" s="106">
        <f>J7</f>
        <v>0</v>
      </c>
      <c r="K9" s="104">
        <f>N9+M9</f>
        <v>0</v>
      </c>
      <c r="L9" s="114">
        <f>K9*100/D9</f>
        <v>0</v>
      </c>
      <c r="M9" s="104"/>
      <c r="N9" s="104">
        <f>N7</f>
        <v>0</v>
      </c>
      <c r="O9" s="106">
        <f>D9-G9-K9</f>
        <v>400000</v>
      </c>
      <c r="P9" s="105">
        <f>O9*100/D9</f>
        <v>100</v>
      </c>
      <c r="Q9" s="104"/>
      <c r="R9" s="105">
        <f>F9-J9-N9</f>
        <v>400000</v>
      </c>
    </row>
    <row r="10" spans="1:18" s="112" customFormat="1" ht="18" customHeight="1">
      <c r="A10" s="100"/>
      <c r="B10" s="86" t="s">
        <v>93</v>
      </c>
      <c r="C10" s="107"/>
      <c r="D10" s="108"/>
      <c r="E10" s="109"/>
      <c r="F10" s="108"/>
      <c r="G10" s="110"/>
      <c r="H10" s="99"/>
      <c r="I10" s="110"/>
      <c r="J10" s="111"/>
      <c r="K10" s="110"/>
      <c r="L10" s="111"/>
      <c r="M10" s="110"/>
      <c r="N10" s="110"/>
      <c r="O10" s="111"/>
      <c r="P10" s="111"/>
      <c r="Q10" s="110"/>
      <c r="R10" s="111"/>
    </row>
    <row r="11" spans="1:18" s="112" customFormat="1" ht="18" customHeight="1">
      <c r="A11" s="100">
        <v>1.2</v>
      </c>
      <c r="B11" s="87" t="s">
        <v>83</v>
      </c>
      <c r="C11" s="88" t="s">
        <v>91</v>
      </c>
      <c r="D11" s="89">
        <f>F11+E11</f>
        <v>190000</v>
      </c>
      <c r="E11" s="90"/>
      <c r="F11" s="89">
        <v>190000</v>
      </c>
      <c r="G11" s="91">
        <f>J11+I11</f>
        <v>0</v>
      </c>
      <c r="H11" s="116">
        <f>G11*100/D11</f>
        <v>0</v>
      </c>
      <c r="I11" s="91"/>
      <c r="J11" s="91"/>
      <c r="K11" s="91">
        <f>N11+M11</f>
        <v>0</v>
      </c>
      <c r="L11" s="116">
        <f>K11*100/D11</f>
        <v>0</v>
      </c>
      <c r="M11" s="91"/>
      <c r="N11" s="91"/>
      <c r="O11" s="91">
        <f>D11-G11-K11</f>
        <v>190000</v>
      </c>
      <c r="P11" s="92">
        <f>O11*100/D11</f>
        <v>100</v>
      </c>
      <c r="Q11" s="91">
        <f>E11-I11-M11</f>
        <v>0</v>
      </c>
      <c r="R11" s="92">
        <f>F11-J11-N11</f>
        <v>190000</v>
      </c>
    </row>
    <row r="12" spans="1:18" s="112" customFormat="1" ht="18" customHeight="1">
      <c r="A12" s="100"/>
      <c r="B12" s="87" t="s">
        <v>88</v>
      </c>
      <c r="C12" s="107"/>
      <c r="D12" s="108"/>
      <c r="E12" s="109"/>
      <c r="F12" s="108"/>
      <c r="G12" s="110"/>
      <c r="H12" s="116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16.5" customHeight="1">
      <c r="A13" s="100">
        <v>1.3</v>
      </c>
      <c r="B13" s="86" t="s">
        <v>94</v>
      </c>
      <c r="C13" s="107"/>
      <c r="D13" s="108"/>
      <c r="E13" s="109"/>
      <c r="F13" s="108"/>
      <c r="G13" s="110"/>
      <c r="H13" s="116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" customHeight="1">
      <c r="A14" s="100"/>
      <c r="B14" s="87" t="s">
        <v>84</v>
      </c>
      <c r="C14" s="88" t="s">
        <v>91</v>
      </c>
      <c r="D14" s="89">
        <f>F14+E14</f>
        <v>400000</v>
      </c>
      <c r="E14" s="90"/>
      <c r="F14" s="89">
        <v>400000</v>
      </c>
      <c r="G14" s="91">
        <f>J14+I14</f>
        <v>0</v>
      </c>
      <c r="H14" s="116">
        <f>G14*100/D14</f>
        <v>0</v>
      </c>
      <c r="I14" s="91"/>
      <c r="J14" s="91"/>
      <c r="K14" s="91">
        <f>N14+M14</f>
        <v>0</v>
      </c>
      <c r="L14" s="116">
        <f>K14*100/D14</f>
        <v>0</v>
      </c>
      <c r="M14" s="91"/>
      <c r="N14" s="91"/>
      <c r="O14" s="91">
        <f>D14-G14-K14</f>
        <v>400000</v>
      </c>
      <c r="P14" s="92">
        <f>O14*100/D14</f>
        <v>100</v>
      </c>
      <c r="Q14" s="91">
        <f>E14-I14-M14</f>
        <v>0</v>
      </c>
      <c r="R14" s="92">
        <f>F14-J14-N14</f>
        <v>400000</v>
      </c>
    </row>
    <row r="15" spans="1:18" s="112" customFormat="1" ht="18" customHeight="1">
      <c r="A15" s="100"/>
      <c r="B15" s="87" t="s">
        <v>85</v>
      </c>
      <c r="C15" s="107"/>
      <c r="D15" s="108"/>
      <c r="E15" s="109"/>
      <c r="F15" s="108"/>
      <c r="G15" s="110"/>
      <c r="H15" s="116"/>
      <c r="I15" s="110"/>
      <c r="J15" s="111"/>
      <c r="K15" s="110"/>
      <c r="L15" s="116"/>
      <c r="M15" s="110"/>
      <c r="N15" s="110"/>
      <c r="O15" s="111"/>
      <c r="P15" s="111"/>
      <c r="Q15" s="110"/>
      <c r="R15" s="111"/>
    </row>
    <row r="16" spans="1:18" s="112" customFormat="1" ht="18" customHeight="1">
      <c r="A16" s="100">
        <v>1.4</v>
      </c>
      <c r="B16" s="86" t="s">
        <v>96</v>
      </c>
      <c r="C16" s="107"/>
      <c r="D16" s="108"/>
      <c r="E16" s="109"/>
      <c r="F16" s="108"/>
      <c r="G16" s="110"/>
      <c r="H16" s="116"/>
      <c r="I16" s="110"/>
      <c r="J16" s="111"/>
      <c r="K16" s="110"/>
      <c r="L16" s="116"/>
      <c r="M16" s="110"/>
      <c r="N16" s="110"/>
      <c r="O16" s="111"/>
      <c r="P16" s="111"/>
      <c r="Q16" s="110"/>
      <c r="R16" s="111"/>
    </row>
    <row r="17" spans="1:18" s="112" customFormat="1" ht="18" customHeight="1">
      <c r="A17" s="100"/>
      <c r="B17" s="87" t="s">
        <v>81</v>
      </c>
      <c r="C17" s="88" t="s">
        <v>91</v>
      </c>
      <c r="D17" s="89">
        <f>F17+E17</f>
        <v>400000</v>
      </c>
      <c r="E17" s="90"/>
      <c r="F17" s="89">
        <v>400000</v>
      </c>
      <c r="G17" s="91">
        <f>J17+I17</f>
        <v>0</v>
      </c>
      <c r="H17" s="116">
        <f>G17*100/D17</f>
        <v>0</v>
      </c>
      <c r="I17" s="91"/>
      <c r="J17" s="91"/>
      <c r="K17" s="91">
        <f>N17+M17</f>
        <v>0</v>
      </c>
      <c r="L17" s="116">
        <f>K17*100/D17</f>
        <v>0</v>
      </c>
      <c r="M17" s="91"/>
      <c r="N17" s="91"/>
      <c r="O17" s="91">
        <f>D17-G17-K17</f>
        <v>400000</v>
      </c>
      <c r="P17" s="92">
        <f>O17*100/D17</f>
        <v>100</v>
      </c>
      <c r="Q17" s="91">
        <f>E17-I17-M17</f>
        <v>0</v>
      </c>
      <c r="R17" s="92">
        <f>F17-J17-N17</f>
        <v>400000</v>
      </c>
    </row>
    <row r="18" spans="1:18" s="112" customFormat="1" ht="18" customHeight="1">
      <c r="A18" s="100"/>
      <c r="B18" s="87" t="s">
        <v>95</v>
      </c>
      <c r="C18" s="107"/>
      <c r="D18" s="108"/>
      <c r="E18" s="109"/>
      <c r="F18" s="108"/>
      <c r="G18" s="110"/>
      <c r="H18" s="116"/>
      <c r="I18" s="110"/>
      <c r="J18" s="111"/>
      <c r="K18" s="110"/>
      <c r="L18" s="116"/>
      <c r="M18" s="110"/>
      <c r="N18" s="110"/>
      <c r="O18" s="111"/>
      <c r="P18" s="111"/>
      <c r="Q18" s="110"/>
      <c r="R18" s="111"/>
    </row>
    <row r="19" spans="1:19" s="112" customFormat="1" ht="18" customHeight="1">
      <c r="A19" s="100">
        <v>1.5</v>
      </c>
      <c r="B19" s="86" t="s">
        <v>97</v>
      </c>
      <c r="C19" s="107"/>
      <c r="D19" s="108"/>
      <c r="E19" s="109"/>
      <c r="F19" s="108"/>
      <c r="G19" s="110"/>
      <c r="H19" s="116"/>
      <c r="I19" s="110"/>
      <c r="J19" s="111"/>
      <c r="K19" s="110"/>
      <c r="L19" s="116"/>
      <c r="M19" s="110"/>
      <c r="N19" s="110"/>
      <c r="O19" s="111"/>
      <c r="P19" s="111"/>
      <c r="Q19" s="110"/>
      <c r="R19" s="111"/>
      <c r="S19" s="112">
        <v>4</v>
      </c>
    </row>
    <row r="20" spans="1:18" s="112" customFormat="1" ht="18" customHeight="1">
      <c r="A20" s="100"/>
      <c r="B20" s="87" t="s">
        <v>82</v>
      </c>
      <c r="C20" s="88" t="s">
        <v>91</v>
      </c>
      <c r="D20" s="89">
        <f>F20+E20</f>
        <v>140000</v>
      </c>
      <c r="E20" s="90"/>
      <c r="F20" s="89">
        <v>140000</v>
      </c>
      <c r="G20" s="91">
        <f>J20+I20</f>
        <v>0</v>
      </c>
      <c r="H20" s="116">
        <f>G20*100/D20</f>
        <v>0</v>
      </c>
      <c r="I20" s="91"/>
      <c r="J20" s="91"/>
      <c r="K20" s="91">
        <f>N20+M20</f>
        <v>0</v>
      </c>
      <c r="L20" s="116">
        <f>K20*100/D20</f>
        <v>0</v>
      </c>
      <c r="M20" s="91"/>
      <c r="N20" s="91"/>
      <c r="O20" s="91">
        <f>D20-G20-K20</f>
        <v>140000</v>
      </c>
      <c r="P20" s="92">
        <f>O20*100/D20</f>
        <v>100</v>
      </c>
      <c r="Q20" s="91">
        <f>E20-I20-M20</f>
        <v>0</v>
      </c>
      <c r="R20" s="92">
        <f>F20-J20-N20</f>
        <v>140000</v>
      </c>
    </row>
    <row r="21" spans="1:18" s="112" customFormat="1" ht="18" customHeight="1">
      <c r="A21" s="100"/>
      <c r="B21" s="87" t="s">
        <v>88</v>
      </c>
      <c r="C21" s="107"/>
      <c r="D21" s="108"/>
      <c r="E21" s="109"/>
      <c r="F21" s="108"/>
      <c r="G21" s="110"/>
      <c r="H21" s="116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8.75" customHeight="1">
      <c r="A22" s="100"/>
      <c r="B22" s="101" t="s">
        <v>79</v>
      </c>
      <c r="C22" s="124"/>
      <c r="D22" s="102">
        <f>F22+E22</f>
        <v>1130000</v>
      </c>
      <c r="E22" s="103">
        <f>E11+E14+E17+E20</f>
        <v>0</v>
      </c>
      <c r="F22" s="102">
        <f>F11+F14+F17+F20</f>
        <v>1130000</v>
      </c>
      <c r="G22" s="104">
        <f>J22+I22</f>
        <v>0</v>
      </c>
      <c r="H22" s="114">
        <f>G22*100/D22</f>
        <v>0</v>
      </c>
      <c r="I22" s="104">
        <f>I11+I14+I17+I20</f>
        <v>0</v>
      </c>
      <c r="J22" s="106">
        <f>J11+J14+J17+J20</f>
        <v>0</v>
      </c>
      <c r="K22" s="104">
        <f>N22+M22</f>
        <v>0</v>
      </c>
      <c r="L22" s="114">
        <f>K22*100/D22</f>
        <v>0</v>
      </c>
      <c r="M22" s="104">
        <f>M11+M14+M17+M20</f>
        <v>0</v>
      </c>
      <c r="N22" s="104">
        <f>N11+N14+N17+N20</f>
        <v>0</v>
      </c>
      <c r="O22" s="106">
        <f>D22-G22-K22</f>
        <v>1130000</v>
      </c>
      <c r="P22" s="105">
        <f>O22*100/D22</f>
        <v>100</v>
      </c>
      <c r="Q22" s="104"/>
      <c r="R22" s="105">
        <f>F22-J22-N22</f>
        <v>1130000</v>
      </c>
    </row>
    <row r="23" spans="1:18" ht="18.75" customHeight="1">
      <c r="A23" s="158">
        <v>2</v>
      </c>
      <c r="B23" s="131" t="s">
        <v>125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5"/>
    </row>
    <row r="24" spans="1:18" s="112" customFormat="1" ht="18" customHeight="1">
      <c r="A24" s="100"/>
      <c r="B24" s="86" t="s">
        <v>132</v>
      </c>
      <c r="C24" s="107"/>
      <c r="D24" s="108"/>
      <c r="E24" s="109"/>
      <c r="F24" s="108"/>
      <c r="G24" s="110"/>
      <c r="H24" s="99"/>
      <c r="I24" s="110"/>
      <c r="J24" s="111"/>
      <c r="K24" s="110"/>
      <c r="L24" s="99"/>
      <c r="M24" s="110"/>
      <c r="N24" s="110"/>
      <c r="O24" s="111"/>
      <c r="P24" s="111"/>
      <c r="Q24" s="110"/>
      <c r="R24" s="99"/>
    </row>
    <row r="25" spans="1:18" s="112" customFormat="1" ht="18" customHeight="1">
      <c r="A25" s="88" t="s">
        <v>138</v>
      </c>
      <c r="B25" s="87" t="s">
        <v>98</v>
      </c>
      <c r="C25" s="88" t="s">
        <v>100</v>
      </c>
      <c r="D25" s="117">
        <f>F25+E25</f>
        <v>1908000</v>
      </c>
      <c r="E25" s="98"/>
      <c r="F25" s="117">
        <v>1908000</v>
      </c>
      <c r="G25" s="92">
        <f>J25+I25</f>
        <v>0</v>
      </c>
      <c r="H25" s="99">
        <f>G25*100/D25</f>
        <v>0</v>
      </c>
      <c r="I25" s="91"/>
      <c r="J25" s="92"/>
      <c r="K25" s="91">
        <f>N25+M25</f>
        <v>0</v>
      </c>
      <c r="L25" s="116">
        <f>K25*100/D25</f>
        <v>0</v>
      </c>
      <c r="M25" s="91"/>
      <c r="N25" s="91"/>
      <c r="O25" s="91">
        <f>D25-G25-K25</f>
        <v>1908000</v>
      </c>
      <c r="P25" s="92">
        <f>O25*100/D25</f>
        <v>100</v>
      </c>
      <c r="Q25" s="91">
        <f>E25-I25-M25</f>
        <v>0</v>
      </c>
      <c r="R25" s="92">
        <f>F25-J25-N25</f>
        <v>1908000</v>
      </c>
    </row>
    <row r="26" spans="1:18" s="112" customFormat="1" ht="18" customHeight="1">
      <c r="A26" s="100"/>
      <c r="B26" s="87" t="s">
        <v>99</v>
      </c>
      <c r="C26" s="107"/>
      <c r="D26" s="147"/>
      <c r="E26" s="148"/>
      <c r="F26" s="147"/>
      <c r="G26" s="110"/>
      <c r="H26" s="99"/>
      <c r="I26" s="110"/>
      <c r="J26" s="111"/>
      <c r="K26" s="110"/>
      <c r="L26" s="111"/>
      <c r="M26" s="110"/>
      <c r="N26" s="110"/>
      <c r="O26" s="111"/>
      <c r="P26" s="111"/>
      <c r="Q26" s="110"/>
      <c r="R26" s="111"/>
    </row>
    <row r="27" spans="1:18" s="112" customFormat="1" ht="18" customHeight="1">
      <c r="A27" s="100"/>
      <c r="B27" s="86" t="s">
        <v>131</v>
      </c>
      <c r="C27" s="107"/>
      <c r="D27" s="147"/>
      <c r="E27" s="148"/>
      <c r="F27" s="147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8" customHeight="1">
      <c r="A28" s="88" t="s">
        <v>139</v>
      </c>
      <c r="B28" s="87" t="s">
        <v>126</v>
      </c>
      <c r="C28" s="88" t="s">
        <v>128</v>
      </c>
      <c r="D28" s="117">
        <f>F28+E28</f>
        <v>14489000</v>
      </c>
      <c r="E28" s="98"/>
      <c r="F28" s="117">
        <v>14489000</v>
      </c>
      <c r="G28" s="92">
        <f>J28+I28</f>
        <v>0</v>
      </c>
      <c r="H28" s="99">
        <f>G28*100/D28</f>
        <v>0</v>
      </c>
      <c r="I28" s="91"/>
      <c r="J28" s="92"/>
      <c r="K28" s="91">
        <f>N28+M28</f>
        <v>0</v>
      </c>
      <c r="L28" s="116">
        <f>K28*100/D28</f>
        <v>0</v>
      </c>
      <c r="M28" s="91"/>
      <c r="N28" s="91"/>
      <c r="O28" s="92">
        <f>D28-G28-K28</f>
        <v>14489000</v>
      </c>
      <c r="P28" s="92">
        <f>O28*100/D28</f>
        <v>100</v>
      </c>
      <c r="Q28" s="91">
        <f>E28-I28-M28</f>
        <v>0</v>
      </c>
      <c r="R28" s="92">
        <f>F28-J28-N28</f>
        <v>14489000</v>
      </c>
    </row>
    <row r="29" spans="1:18" s="112" customFormat="1" ht="18" customHeight="1">
      <c r="A29" s="100"/>
      <c r="B29" s="87" t="s">
        <v>127</v>
      </c>
      <c r="C29" s="107"/>
      <c r="D29" s="147"/>
      <c r="E29" s="148"/>
      <c r="F29" s="147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" customHeight="1">
      <c r="A30" s="100"/>
      <c r="B30" s="86" t="s">
        <v>133</v>
      </c>
      <c r="C30" s="107"/>
      <c r="D30" s="147"/>
      <c r="E30" s="148"/>
      <c r="F30" s="147"/>
      <c r="G30" s="110"/>
      <c r="H30" s="99"/>
      <c r="I30" s="110"/>
      <c r="J30" s="111"/>
      <c r="K30" s="110"/>
      <c r="L30" s="111"/>
      <c r="M30" s="110"/>
      <c r="N30" s="110"/>
      <c r="O30" s="111"/>
      <c r="P30" s="111"/>
      <c r="Q30" s="110"/>
      <c r="R30" s="111"/>
    </row>
    <row r="31" spans="1:18" s="112" customFormat="1" ht="18" customHeight="1">
      <c r="A31" s="88" t="s">
        <v>140</v>
      </c>
      <c r="B31" s="87" t="s">
        <v>129</v>
      </c>
      <c r="C31" s="88" t="s">
        <v>128</v>
      </c>
      <c r="D31" s="117">
        <f>F31+E31</f>
        <v>29195000</v>
      </c>
      <c r="E31" s="98"/>
      <c r="F31" s="117">
        <v>29195000</v>
      </c>
      <c r="G31" s="92">
        <f>J31+I31</f>
        <v>0</v>
      </c>
      <c r="H31" s="99">
        <f>G31*100/D31</f>
        <v>0</v>
      </c>
      <c r="I31" s="91"/>
      <c r="J31" s="92"/>
      <c r="K31" s="91">
        <f>N31+M31</f>
        <v>0</v>
      </c>
      <c r="L31" s="116">
        <f>K31*100/D31</f>
        <v>0</v>
      </c>
      <c r="M31" s="91"/>
      <c r="N31" s="91"/>
      <c r="O31" s="92">
        <f>D31-G31-K31</f>
        <v>29195000</v>
      </c>
      <c r="P31" s="92">
        <f>O31*100/D31</f>
        <v>100</v>
      </c>
      <c r="Q31" s="91">
        <f>E31-I31-M31</f>
        <v>0</v>
      </c>
      <c r="R31" s="92">
        <f>F31-J31-N31</f>
        <v>29195000</v>
      </c>
    </row>
    <row r="32" spans="1:18" s="112" customFormat="1" ht="20.25" customHeight="1">
      <c r="A32" s="100"/>
      <c r="B32" s="87" t="s">
        <v>130</v>
      </c>
      <c r="C32" s="107"/>
      <c r="D32" s="108"/>
      <c r="E32" s="109"/>
      <c r="F32" s="108"/>
      <c r="G32" s="110"/>
      <c r="H32" s="99"/>
      <c r="I32" s="110"/>
      <c r="J32" s="111"/>
      <c r="K32" s="110"/>
      <c r="L32" s="111"/>
      <c r="M32" s="110"/>
      <c r="N32" s="110"/>
      <c r="O32" s="111"/>
      <c r="P32" s="111"/>
      <c r="Q32" s="110"/>
      <c r="R32" s="111"/>
    </row>
    <row r="33" spans="1:18" s="112" customFormat="1" ht="18" customHeight="1">
      <c r="A33" s="94"/>
      <c r="B33" s="95" t="s">
        <v>54</v>
      </c>
      <c r="C33" s="96"/>
      <c r="D33" s="126"/>
      <c r="E33" s="127"/>
      <c r="F33" s="126"/>
      <c r="G33" s="128"/>
      <c r="H33" s="129"/>
      <c r="I33" s="128"/>
      <c r="J33" s="130"/>
      <c r="K33" s="128"/>
      <c r="L33" s="130"/>
      <c r="M33" s="128"/>
      <c r="N33" s="128"/>
      <c r="O33" s="130"/>
      <c r="P33" s="130"/>
      <c r="Q33" s="128"/>
      <c r="R33" s="130"/>
    </row>
    <row r="34" spans="1:18" s="112" customFormat="1" ht="18.75" customHeight="1">
      <c r="A34" s="118"/>
      <c r="B34" s="162" t="s">
        <v>137</v>
      </c>
      <c r="C34" s="141"/>
      <c r="D34" s="142"/>
      <c r="E34" s="143"/>
      <c r="F34" s="142"/>
      <c r="G34" s="144"/>
      <c r="H34" s="145"/>
      <c r="I34" s="144"/>
      <c r="J34" s="146"/>
      <c r="K34" s="144"/>
      <c r="L34" s="146"/>
      <c r="M34" s="144"/>
      <c r="N34" s="144"/>
      <c r="O34" s="146"/>
      <c r="P34" s="146"/>
      <c r="Q34" s="144"/>
      <c r="R34" s="146"/>
    </row>
    <row r="35" spans="1:18" s="112" customFormat="1" ht="18.75" customHeight="1">
      <c r="A35" s="100"/>
      <c r="B35" s="86" t="s">
        <v>134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8.75" customHeight="1">
      <c r="A36" s="88" t="s">
        <v>141</v>
      </c>
      <c r="B36" s="87" t="s">
        <v>135</v>
      </c>
      <c r="C36" s="88" t="s">
        <v>128</v>
      </c>
      <c r="D36" s="117">
        <f>F36+E36</f>
        <v>19382000</v>
      </c>
      <c r="E36" s="98"/>
      <c r="F36" s="117">
        <v>19382000</v>
      </c>
      <c r="G36" s="92">
        <f>J36+I36</f>
        <v>0</v>
      </c>
      <c r="H36" s="99">
        <f>G36*100/D36</f>
        <v>0</v>
      </c>
      <c r="I36" s="91"/>
      <c r="J36" s="92"/>
      <c r="K36" s="91">
        <f>N36+M36</f>
        <v>0</v>
      </c>
      <c r="L36" s="116">
        <f>K36*100/D36</f>
        <v>0</v>
      </c>
      <c r="M36" s="91"/>
      <c r="N36" s="91"/>
      <c r="O36" s="92">
        <f>D36-G36-K36</f>
        <v>19382000</v>
      </c>
      <c r="P36" s="92">
        <f>O36*100/D36</f>
        <v>100</v>
      </c>
      <c r="Q36" s="91">
        <f>E36-I36-M36</f>
        <v>0</v>
      </c>
      <c r="R36" s="92">
        <f>F36-J36-N36</f>
        <v>19382000</v>
      </c>
    </row>
    <row r="37" spans="1:18" s="112" customFormat="1" ht="18.75" customHeight="1">
      <c r="A37" s="100"/>
      <c r="B37" s="87" t="s">
        <v>136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8.75" customHeight="1">
      <c r="A38" s="100"/>
      <c r="B38" s="87"/>
      <c r="C38" s="107"/>
      <c r="D38" s="108"/>
      <c r="E38" s="109"/>
      <c r="F38" s="108"/>
      <c r="G38" s="110"/>
      <c r="H38" s="99"/>
      <c r="I38" s="110"/>
      <c r="J38" s="111"/>
      <c r="K38" s="110"/>
      <c r="L38" s="111"/>
      <c r="M38" s="110"/>
      <c r="N38" s="110"/>
      <c r="O38" s="111"/>
      <c r="P38" s="111"/>
      <c r="Q38" s="110"/>
      <c r="R38" s="111"/>
    </row>
    <row r="39" spans="1:18" s="112" customFormat="1" ht="18.75" customHeight="1">
      <c r="A39" s="100"/>
      <c r="B39" s="87"/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8.75" customHeight="1">
      <c r="A40" s="100"/>
      <c r="B40" s="87"/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8.75" customHeight="1">
      <c r="A41" s="100"/>
      <c r="B41" s="101" t="s">
        <v>67</v>
      </c>
      <c r="C41" s="119"/>
      <c r="D41" s="159">
        <f>F41+E41</f>
        <v>64974000</v>
      </c>
      <c r="E41" s="160">
        <f>E25+E28+E31+E36</f>
        <v>0</v>
      </c>
      <c r="F41" s="159">
        <f>F25+F28+F31+F36</f>
        <v>64974000</v>
      </c>
      <c r="G41" s="161">
        <f>J41+I41</f>
        <v>0</v>
      </c>
      <c r="H41" s="105">
        <f>G41*100/D41</f>
        <v>0</v>
      </c>
      <c r="I41" s="161">
        <f>I25+I28+I31+I36</f>
        <v>0</v>
      </c>
      <c r="J41" s="105">
        <f>J25+J28+J31+J36</f>
        <v>0</v>
      </c>
      <c r="K41" s="161">
        <f>N41+M41</f>
        <v>0</v>
      </c>
      <c r="L41" s="105">
        <f>K41*100/D41</f>
        <v>0</v>
      </c>
      <c r="M41" s="161">
        <f>M25+M28+M31+M36</f>
        <v>0</v>
      </c>
      <c r="N41" s="161">
        <f>N25+N28+N31+N36</f>
        <v>0</v>
      </c>
      <c r="O41" s="105">
        <f>D41-G41-K41</f>
        <v>64974000</v>
      </c>
      <c r="P41" s="105">
        <f>O41*100/D41</f>
        <v>100</v>
      </c>
      <c r="Q41" s="149">
        <f>E41-I41-M41</f>
        <v>0</v>
      </c>
      <c r="R41" s="105">
        <f>F41-J41-N41</f>
        <v>64974000</v>
      </c>
    </row>
    <row r="42" spans="1:18" s="112" customFormat="1" ht="18.75" customHeight="1">
      <c r="A42" s="158">
        <v>3</v>
      </c>
      <c r="B42" s="86" t="s">
        <v>105</v>
      </c>
      <c r="C42" s="107"/>
      <c r="D42" s="108"/>
      <c r="E42" s="109"/>
      <c r="F42" s="108"/>
      <c r="G42" s="110"/>
      <c r="H42" s="99"/>
      <c r="I42" s="110"/>
      <c r="J42" s="111"/>
      <c r="K42" s="110"/>
      <c r="L42" s="111"/>
      <c r="M42" s="110"/>
      <c r="N42" s="110"/>
      <c r="O42" s="111"/>
      <c r="P42" s="111"/>
      <c r="Q42" s="110"/>
      <c r="R42" s="111"/>
    </row>
    <row r="43" spans="1:18" s="112" customFormat="1" ht="18.75" customHeight="1">
      <c r="A43" s="88" t="s">
        <v>142</v>
      </c>
      <c r="B43" s="87" t="s">
        <v>101</v>
      </c>
      <c r="C43" s="88" t="s">
        <v>100</v>
      </c>
      <c r="D43" s="89">
        <f>F43+E43</f>
        <v>1000000</v>
      </c>
      <c r="E43" s="90">
        <v>400000</v>
      </c>
      <c r="F43" s="89">
        <v>600000</v>
      </c>
      <c r="G43" s="92">
        <f>J43+I43</f>
        <v>0</v>
      </c>
      <c r="H43" s="99">
        <f>G43*100/D43</f>
        <v>0</v>
      </c>
      <c r="I43" s="91"/>
      <c r="J43" s="92"/>
      <c r="K43" s="91">
        <f>N43+M43</f>
        <v>0</v>
      </c>
      <c r="L43" s="116">
        <f>K43*100/D43</f>
        <v>0</v>
      </c>
      <c r="M43" s="91"/>
      <c r="N43" s="91"/>
      <c r="O43" s="91">
        <f>D43-G43-K43</f>
        <v>1000000</v>
      </c>
      <c r="P43" s="92">
        <f>O43*100/D43</f>
        <v>100</v>
      </c>
      <c r="Q43" s="92">
        <f>E43-I43-M43</f>
        <v>400000</v>
      </c>
      <c r="R43" s="91">
        <f>F43-J43-N43</f>
        <v>600000</v>
      </c>
    </row>
    <row r="44" spans="1:18" s="112" customFormat="1" ht="18.75" customHeight="1">
      <c r="A44" s="100"/>
      <c r="B44" s="87" t="s">
        <v>19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8.75" customHeight="1">
      <c r="A45" s="100"/>
      <c r="B45" s="86" t="s">
        <v>106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8.75" customHeight="1">
      <c r="A46" s="88" t="s">
        <v>143</v>
      </c>
      <c r="B46" s="87" t="s">
        <v>102</v>
      </c>
      <c r="C46" s="88" t="s">
        <v>100</v>
      </c>
      <c r="D46" s="117">
        <f>F46+E46</f>
        <v>1000000</v>
      </c>
      <c r="E46" s="98"/>
      <c r="F46" s="117">
        <v>1000000</v>
      </c>
      <c r="G46" s="92">
        <f>J46+I46</f>
        <v>0</v>
      </c>
      <c r="H46" s="99">
        <f>G46*100/D46</f>
        <v>0</v>
      </c>
      <c r="I46" s="91"/>
      <c r="J46" s="92"/>
      <c r="K46" s="91">
        <f>N46+M46</f>
        <v>0</v>
      </c>
      <c r="L46" s="116">
        <f>K46*100/D46</f>
        <v>0</v>
      </c>
      <c r="M46" s="91"/>
      <c r="N46" s="91"/>
      <c r="O46" s="92">
        <f>D46-G46-K46</f>
        <v>1000000</v>
      </c>
      <c r="P46" s="92">
        <f>O46*100/D46</f>
        <v>100</v>
      </c>
      <c r="Q46" s="92">
        <f>E46-I46-M46</f>
        <v>0</v>
      </c>
      <c r="R46" s="92">
        <f>F46-J46-N46</f>
        <v>1000000</v>
      </c>
    </row>
    <row r="47" spans="1:18" s="112" customFormat="1" ht="18.75" customHeight="1">
      <c r="A47" s="100"/>
      <c r="B47" s="87" t="s">
        <v>103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8.75" customHeight="1">
      <c r="A48" s="100"/>
      <c r="B48" s="87" t="s">
        <v>65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6.5" customHeight="1">
      <c r="A49" s="100"/>
      <c r="B49" s="86" t="s">
        <v>107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8.75" customHeight="1">
      <c r="A50" s="88" t="s">
        <v>144</v>
      </c>
      <c r="B50" s="87" t="s">
        <v>51</v>
      </c>
      <c r="C50" s="88" t="s">
        <v>100</v>
      </c>
      <c r="D50" s="117">
        <f>F50+E50</f>
        <v>500000</v>
      </c>
      <c r="E50" s="98"/>
      <c r="F50" s="117">
        <v>500000</v>
      </c>
      <c r="G50" s="92">
        <f>J50+I50</f>
        <v>0</v>
      </c>
      <c r="H50" s="99">
        <f>G50*100/D50</f>
        <v>0</v>
      </c>
      <c r="I50" s="91"/>
      <c r="J50" s="92"/>
      <c r="K50" s="91">
        <f>N50+M50</f>
        <v>0</v>
      </c>
      <c r="L50" s="116">
        <f>K50*100/D50</f>
        <v>0</v>
      </c>
      <c r="M50" s="91"/>
      <c r="N50" s="91"/>
      <c r="O50" s="92">
        <f>D50-G50-K50</f>
        <v>500000</v>
      </c>
      <c r="P50" s="92">
        <f>O50*100/D50</f>
        <v>100</v>
      </c>
      <c r="Q50" s="92">
        <f>E50-I50-M50</f>
        <v>0</v>
      </c>
      <c r="R50" s="92">
        <f>F50-J50-N50</f>
        <v>500000</v>
      </c>
    </row>
    <row r="51" spans="1:18" s="112" customFormat="1" ht="18.75" customHeight="1">
      <c r="A51" s="100"/>
      <c r="B51" s="87" t="s">
        <v>52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8.75" customHeight="1">
      <c r="A52" s="100"/>
      <c r="B52" s="87" t="s">
        <v>104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6.5" customHeight="1">
      <c r="A53" s="100"/>
      <c r="B53" s="86" t="s">
        <v>108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8.75" customHeight="1">
      <c r="A54" s="100">
        <v>3.4</v>
      </c>
      <c r="B54" s="87" t="s">
        <v>50</v>
      </c>
      <c r="C54" s="88" t="s">
        <v>100</v>
      </c>
      <c r="D54" s="117">
        <f>F54+E54</f>
        <v>1700000</v>
      </c>
      <c r="E54" s="98"/>
      <c r="F54" s="117">
        <v>1700000</v>
      </c>
      <c r="G54" s="92">
        <f>J54+I54</f>
        <v>0</v>
      </c>
      <c r="H54" s="99">
        <f>G54*100/D54</f>
        <v>0</v>
      </c>
      <c r="I54" s="91"/>
      <c r="J54" s="92"/>
      <c r="K54" s="91">
        <f>N54+M54</f>
        <v>0</v>
      </c>
      <c r="L54" s="116">
        <f>K54*100/D54</f>
        <v>0</v>
      </c>
      <c r="M54" s="91"/>
      <c r="N54" s="91"/>
      <c r="O54" s="92">
        <f>D54-G54-K54</f>
        <v>1700000</v>
      </c>
      <c r="P54" s="92">
        <f>O54*100/D54</f>
        <v>100</v>
      </c>
      <c r="Q54" s="92">
        <f>E54-I54-M54</f>
        <v>0</v>
      </c>
      <c r="R54" s="92">
        <f>F54-J54-N54</f>
        <v>1700000</v>
      </c>
    </row>
    <row r="55" spans="1:18" s="112" customFormat="1" ht="18.75" customHeight="1">
      <c r="A55" s="100"/>
      <c r="B55" s="87" t="s">
        <v>109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8.75" customHeight="1">
      <c r="A56" s="100"/>
      <c r="B56" s="87" t="s">
        <v>110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5.75" customHeight="1">
      <c r="A57" s="100"/>
      <c r="B57" s="86" t="s">
        <v>111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8.75" customHeight="1">
      <c r="A58" s="88" t="s">
        <v>145</v>
      </c>
      <c r="B58" s="87" t="s">
        <v>112</v>
      </c>
      <c r="C58" s="88" t="s">
        <v>100</v>
      </c>
      <c r="D58" s="117">
        <f>F58+E58</f>
        <v>1500000</v>
      </c>
      <c r="E58" s="98"/>
      <c r="F58" s="117">
        <v>1500000</v>
      </c>
      <c r="G58" s="92">
        <f>J58+I58</f>
        <v>0</v>
      </c>
      <c r="H58" s="99">
        <f>G58*100/D58</f>
        <v>0</v>
      </c>
      <c r="I58" s="91"/>
      <c r="J58" s="92"/>
      <c r="K58" s="91">
        <f>N58+M58</f>
        <v>0</v>
      </c>
      <c r="L58" s="116">
        <f>K58*100/D58</f>
        <v>0</v>
      </c>
      <c r="M58" s="91"/>
      <c r="N58" s="91"/>
      <c r="O58" s="92">
        <f>D58-G58-K58</f>
        <v>1500000</v>
      </c>
      <c r="P58" s="92">
        <f>O58*100/D58</f>
        <v>100</v>
      </c>
      <c r="Q58" s="92">
        <f>E58-I58-M58</f>
        <v>0</v>
      </c>
      <c r="R58" s="92">
        <f>F58-J58-N58</f>
        <v>1500000</v>
      </c>
    </row>
    <row r="59" spans="1:18" s="112" customFormat="1" ht="18.75" customHeight="1">
      <c r="A59" s="100"/>
      <c r="B59" s="87" t="s">
        <v>47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8.75" customHeight="1">
      <c r="A60" s="100"/>
      <c r="B60" s="87" t="s">
        <v>113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7.25" customHeight="1">
      <c r="A61" s="100"/>
      <c r="B61" s="86" t="s">
        <v>114</v>
      </c>
      <c r="C61" s="107"/>
      <c r="D61" s="108"/>
      <c r="E61" s="109"/>
      <c r="F61" s="108"/>
      <c r="G61" s="110"/>
      <c r="H61" s="99"/>
      <c r="I61" s="110"/>
      <c r="J61" s="111"/>
      <c r="K61" s="110"/>
      <c r="L61" s="111"/>
      <c r="M61" s="110"/>
      <c r="N61" s="110"/>
      <c r="O61" s="111"/>
      <c r="P61" s="111"/>
      <c r="Q61" s="110"/>
      <c r="R61" s="111"/>
    </row>
    <row r="62" spans="1:18" s="112" customFormat="1" ht="18.75" customHeight="1">
      <c r="A62" s="88" t="s">
        <v>146</v>
      </c>
      <c r="B62" s="87" t="s">
        <v>115</v>
      </c>
      <c r="C62" s="88" t="s">
        <v>100</v>
      </c>
      <c r="D62" s="117">
        <f>F62+E62</f>
        <v>1000000</v>
      </c>
      <c r="E62" s="98"/>
      <c r="F62" s="117">
        <v>1000000</v>
      </c>
      <c r="G62" s="92">
        <f>J62+I62</f>
        <v>0</v>
      </c>
      <c r="H62" s="99">
        <f>G62*100/D62</f>
        <v>0</v>
      </c>
      <c r="I62" s="91"/>
      <c r="J62" s="92"/>
      <c r="K62" s="91">
        <f>N62+M62</f>
        <v>0</v>
      </c>
      <c r="L62" s="116">
        <f>K62*100/D62</f>
        <v>0</v>
      </c>
      <c r="M62" s="91"/>
      <c r="N62" s="91"/>
      <c r="O62" s="92">
        <f>D62-G62-K62</f>
        <v>1000000</v>
      </c>
      <c r="P62" s="92">
        <f>O62*100/D62</f>
        <v>100</v>
      </c>
      <c r="Q62" s="92">
        <f>E62-I62-M62</f>
        <v>0</v>
      </c>
      <c r="R62" s="92">
        <f>F62-J62-N62</f>
        <v>1000000</v>
      </c>
    </row>
    <row r="63" spans="1:18" s="112" customFormat="1" ht="18.75" customHeight="1">
      <c r="A63" s="100"/>
      <c r="B63" s="87" t="s">
        <v>116</v>
      </c>
      <c r="C63" s="107"/>
      <c r="D63" s="108"/>
      <c r="E63" s="109"/>
      <c r="F63" s="108"/>
      <c r="G63" s="110"/>
      <c r="H63" s="99"/>
      <c r="I63" s="110"/>
      <c r="J63" s="111"/>
      <c r="K63" s="110"/>
      <c r="L63" s="111"/>
      <c r="M63" s="110"/>
      <c r="N63" s="110"/>
      <c r="O63" s="111"/>
      <c r="P63" s="111"/>
      <c r="Q63" s="110"/>
      <c r="R63" s="111"/>
    </row>
    <row r="64" spans="1:18" s="112" customFormat="1" ht="18.75" customHeight="1">
      <c r="A64" s="100"/>
      <c r="B64" s="87" t="s">
        <v>117</v>
      </c>
      <c r="C64" s="107"/>
      <c r="D64" s="108"/>
      <c r="E64" s="109"/>
      <c r="F64" s="108"/>
      <c r="G64" s="110"/>
      <c r="H64" s="99"/>
      <c r="I64" s="110"/>
      <c r="J64" s="111"/>
      <c r="K64" s="110"/>
      <c r="L64" s="111"/>
      <c r="M64" s="110"/>
      <c r="N64" s="110"/>
      <c r="O64" s="111"/>
      <c r="P64" s="111"/>
      <c r="Q64" s="110"/>
      <c r="R64" s="111"/>
    </row>
    <row r="65" spans="1:18" s="112" customFormat="1" ht="16.5" customHeight="1">
      <c r="A65" s="100"/>
      <c r="B65" s="86" t="s">
        <v>118</v>
      </c>
      <c r="C65" s="107"/>
      <c r="D65" s="108"/>
      <c r="E65" s="109"/>
      <c r="F65" s="108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88" t="s">
        <v>147</v>
      </c>
      <c r="B66" s="87" t="s">
        <v>119</v>
      </c>
      <c r="C66" s="88" t="s">
        <v>100</v>
      </c>
      <c r="D66" s="117">
        <f>F66+E66</f>
        <v>1500000</v>
      </c>
      <c r="E66" s="98"/>
      <c r="F66" s="117">
        <v>1500000</v>
      </c>
      <c r="G66" s="92">
        <f>J66+I66</f>
        <v>0</v>
      </c>
      <c r="H66" s="99">
        <f>G66*100/D66</f>
        <v>0</v>
      </c>
      <c r="I66" s="91"/>
      <c r="J66" s="92"/>
      <c r="K66" s="91">
        <f>N66+M66</f>
        <v>0</v>
      </c>
      <c r="L66" s="116">
        <f>K66*100/D66</f>
        <v>0</v>
      </c>
      <c r="M66" s="91"/>
      <c r="N66" s="91"/>
      <c r="O66" s="92">
        <f>D66-G66-K66</f>
        <v>1500000</v>
      </c>
      <c r="P66" s="92">
        <f>O66*100/D66</f>
        <v>100</v>
      </c>
      <c r="Q66" s="92">
        <f>E66-I66-M66</f>
        <v>0</v>
      </c>
      <c r="R66" s="92">
        <f>F66-J66-N66</f>
        <v>1500000</v>
      </c>
    </row>
    <row r="67" spans="1:18" s="112" customFormat="1" ht="18.75" customHeight="1">
      <c r="A67" s="100"/>
      <c r="B67" s="87" t="s">
        <v>120</v>
      </c>
      <c r="C67" s="107"/>
      <c r="D67" s="108"/>
      <c r="E67" s="109"/>
      <c r="F67" s="108"/>
      <c r="G67" s="110"/>
      <c r="H67" s="99"/>
      <c r="I67" s="110"/>
      <c r="J67" s="111"/>
      <c r="K67" s="110"/>
      <c r="L67" s="111"/>
      <c r="M67" s="110"/>
      <c r="N67" s="110"/>
      <c r="O67" s="111"/>
      <c r="P67" s="111"/>
      <c r="Q67" s="110"/>
      <c r="R67" s="111"/>
    </row>
    <row r="68" spans="1:18" s="112" customFormat="1" ht="16.5" customHeight="1">
      <c r="A68" s="94"/>
      <c r="B68" s="95" t="s">
        <v>80</v>
      </c>
      <c r="C68" s="96"/>
      <c r="D68" s="126"/>
      <c r="E68" s="127"/>
      <c r="F68" s="126"/>
      <c r="G68" s="128"/>
      <c r="H68" s="129"/>
      <c r="I68" s="128"/>
      <c r="J68" s="130"/>
      <c r="K68" s="128"/>
      <c r="L68" s="130"/>
      <c r="M68" s="128"/>
      <c r="N68" s="128"/>
      <c r="O68" s="130"/>
      <c r="P68" s="130"/>
      <c r="Q68" s="128"/>
      <c r="R68" s="130"/>
    </row>
    <row r="69" spans="1:18" s="112" customFormat="1" ht="18.75" customHeight="1">
      <c r="A69" s="150"/>
      <c r="B69" s="97" t="s">
        <v>121</v>
      </c>
      <c r="C69" s="151"/>
      <c r="D69" s="152"/>
      <c r="E69" s="153"/>
      <c r="F69" s="152"/>
      <c r="G69" s="154"/>
      <c r="H69" s="155"/>
      <c r="I69" s="154"/>
      <c r="J69" s="156"/>
      <c r="K69" s="154"/>
      <c r="L69" s="156"/>
      <c r="M69" s="154"/>
      <c r="N69" s="154"/>
      <c r="O69" s="156"/>
      <c r="P69" s="156"/>
      <c r="Q69" s="154"/>
      <c r="R69" s="156"/>
    </row>
    <row r="70" spans="1:18" s="112" customFormat="1" ht="18.75" customHeight="1">
      <c r="A70" s="88" t="s">
        <v>148</v>
      </c>
      <c r="B70" s="100" t="s">
        <v>115</v>
      </c>
      <c r="C70" s="88" t="s">
        <v>100</v>
      </c>
      <c r="D70" s="117">
        <f>F70+E70</f>
        <v>1500000</v>
      </c>
      <c r="E70" s="98"/>
      <c r="F70" s="117">
        <v>1500000</v>
      </c>
      <c r="G70" s="92">
        <f>J70+I70</f>
        <v>0</v>
      </c>
      <c r="H70" s="99">
        <f>G70*100/D70</f>
        <v>0</v>
      </c>
      <c r="I70" s="91"/>
      <c r="J70" s="92"/>
      <c r="K70" s="91">
        <f>N70+M70</f>
        <v>0</v>
      </c>
      <c r="L70" s="116">
        <f>K70*100/D70</f>
        <v>0</v>
      </c>
      <c r="M70" s="91"/>
      <c r="N70" s="91"/>
      <c r="O70" s="92">
        <f>D70-G70-K70</f>
        <v>1500000</v>
      </c>
      <c r="P70" s="92">
        <f>O70*100/D70</f>
        <v>100</v>
      </c>
      <c r="Q70" s="92">
        <f>E70-I70-M70</f>
        <v>0</v>
      </c>
      <c r="R70" s="92">
        <f>F70-J70-N70</f>
        <v>1500000</v>
      </c>
    </row>
    <row r="71" spans="1:18" s="112" customFormat="1" ht="18.75" customHeight="1">
      <c r="A71" s="100"/>
      <c r="B71" s="87" t="s">
        <v>122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1"/>
    </row>
    <row r="72" spans="1:18" s="112" customFormat="1" ht="18.75" customHeight="1">
      <c r="A72" s="85"/>
      <c r="B72" s="93" t="s">
        <v>123</v>
      </c>
      <c r="C72" s="93"/>
      <c r="D72" s="170"/>
      <c r="E72" s="171"/>
      <c r="F72" s="170"/>
      <c r="G72" s="172"/>
      <c r="H72" s="173"/>
      <c r="I72" s="172"/>
      <c r="J72" s="174"/>
      <c r="K72" s="172"/>
      <c r="L72" s="174"/>
      <c r="M72" s="172"/>
      <c r="N72" s="172"/>
      <c r="O72" s="174"/>
      <c r="P72" s="174"/>
      <c r="Q72" s="172"/>
      <c r="R72" s="174"/>
    </row>
    <row r="73" spans="1:18" s="112" customFormat="1" ht="18.75" customHeight="1">
      <c r="A73" s="85"/>
      <c r="B73" s="93"/>
      <c r="C73" s="93"/>
      <c r="D73" s="170"/>
      <c r="E73" s="171"/>
      <c r="F73" s="170"/>
      <c r="G73" s="172"/>
      <c r="H73" s="173"/>
      <c r="I73" s="172"/>
      <c r="J73" s="174"/>
      <c r="K73" s="172"/>
      <c r="L73" s="174"/>
      <c r="M73" s="172"/>
      <c r="N73" s="172"/>
      <c r="O73" s="174"/>
      <c r="P73" s="174"/>
      <c r="Q73" s="172"/>
      <c r="R73" s="174"/>
    </row>
    <row r="74" spans="1:18" s="112" customFormat="1" ht="18.75" customHeight="1">
      <c r="A74" s="85"/>
      <c r="B74" s="93"/>
      <c r="C74" s="93"/>
      <c r="D74" s="170"/>
      <c r="E74" s="171"/>
      <c r="F74" s="170"/>
      <c r="G74" s="172"/>
      <c r="H74" s="173"/>
      <c r="I74" s="172"/>
      <c r="J74" s="174"/>
      <c r="K74" s="172"/>
      <c r="L74" s="174"/>
      <c r="M74" s="172"/>
      <c r="N74" s="172"/>
      <c r="O74" s="174"/>
      <c r="P74" s="174"/>
      <c r="Q74" s="172"/>
      <c r="R74" s="174"/>
    </row>
    <row r="75" spans="1:18" s="112" customFormat="1" ht="18.75" customHeight="1">
      <c r="A75" s="85"/>
      <c r="B75" s="93"/>
      <c r="C75" s="93"/>
      <c r="D75" s="170"/>
      <c r="E75" s="171"/>
      <c r="F75" s="170"/>
      <c r="G75" s="172"/>
      <c r="H75" s="173"/>
      <c r="I75" s="172"/>
      <c r="J75" s="174"/>
      <c r="K75" s="172"/>
      <c r="L75" s="174"/>
      <c r="M75" s="172"/>
      <c r="N75" s="172"/>
      <c r="O75" s="174"/>
      <c r="P75" s="174"/>
      <c r="Q75" s="172"/>
      <c r="R75" s="174"/>
    </row>
    <row r="76" spans="1:18" s="112" customFormat="1" ht="18.75" customHeight="1">
      <c r="A76" s="85"/>
      <c r="B76" s="93"/>
      <c r="C76" s="93"/>
      <c r="D76" s="170"/>
      <c r="E76" s="171"/>
      <c r="F76" s="170"/>
      <c r="G76" s="172"/>
      <c r="H76" s="173"/>
      <c r="I76" s="172"/>
      <c r="J76" s="174"/>
      <c r="K76" s="172"/>
      <c r="L76" s="174"/>
      <c r="M76" s="172"/>
      <c r="N76" s="172"/>
      <c r="O76" s="174"/>
      <c r="P76" s="174"/>
      <c r="Q76" s="172"/>
      <c r="R76" s="174"/>
    </row>
    <row r="77" spans="1:18" s="112" customFormat="1" ht="18.75" customHeight="1">
      <c r="A77" s="85"/>
      <c r="B77" s="93"/>
      <c r="C77" s="93"/>
      <c r="D77" s="170"/>
      <c r="E77" s="171"/>
      <c r="F77" s="170"/>
      <c r="G77" s="172"/>
      <c r="H77" s="173"/>
      <c r="I77" s="172"/>
      <c r="J77" s="174"/>
      <c r="K77" s="172"/>
      <c r="L77" s="174"/>
      <c r="M77" s="172"/>
      <c r="N77" s="172"/>
      <c r="O77" s="174"/>
      <c r="P77" s="174"/>
      <c r="Q77" s="172"/>
      <c r="R77" s="174"/>
    </row>
    <row r="78" spans="1:18" s="112" customFormat="1" ht="18.75" customHeight="1">
      <c r="A78" s="85"/>
      <c r="B78" s="93"/>
      <c r="C78" s="93"/>
      <c r="D78" s="170"/>
      <c r="E78" s="171"/>
      <c r="F78" s="170"/>
      <c r="G78" s="172"/>
      <c r="H78" s="173"/>
      <c r="I78" s="172"/>
      <c r="J78" s="174"/>
      <c r="K78" s="172"/>
      <c r="L78" s="174"/>
      <c r="M78" s="172"/>
      <c r="N78" s="172"/>
      <c r="O78" s="174"/>
      <c r="P78" s="174"/>
      <c r="Q78" s="172"/>
      <c r="R78" s="174"/>
    </row>
    <row r="79" spans="1:18" s="112" customFormat="1" ht="18.75" customHeight="1">
      <c r="A79" s="85"/>
      <c r="B79" s="93"/>
      <c r="C79" s="93"/>
      <c r="D79" s="170"/>
      <c r="E79" s="171"/>
      <c r="F79" s="170"/>
      <c r="G79" s="172"/>
      <c r="H79" s="173"/>
      <c r="I79" s="172"/>
      <c r="J79" s="174"/>
      <c r="K79" s="172"/>
      <c r="L79" s="174"/>
      <c r="M79" s="172"/>
      <c r="N79" s="172"/>
      <c r="O79" s="174"/>
      <c r="P79" s="174"/>
      <c r="Q79" s="172"/>
      <c r="R79" s="174"/>
    </row>
    <row r="80" spans="1:18" s="112" customFormat="1" ht="18.75" customHeight="1">
      <c r="A80" s="100"/>
      <c r="B80" s="107"/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107"/>
      <c r="C81" s="107"/>
      <c r="D81" s="108"/>
      <c r="E81" s="109"/>
      <c r="F81" s="108"/>
      <c r="G81" s="110"/>
      <c r="H81" s="99"/>
      <c r="I81" s="110"/>
      <c r="J81" s="111"/>
      <c r="K81" s="110"/>
      <c r="L81" s="111"/>
      <c r="M81" s="110"/>
      <c r="N81" s="110"/>
      <c r="O81" s="111"/>
      <c r="P81" s="111"/>
      <c r="Q81" s="110"/>
      <c r="R81" s="111"/>
    </row>
    <row r="82" spans="1:18" s="112" customFormat="1" ht="18.75" customHeight="1">
      <c r="A82" s="100"/>
      <c r="B82" s="107"/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8.75" customHeight="1">
      <c r="A83" s="163"/>
      <c r="B83" s="164"/>
      <c r="C83" s="164"/>
      <c r="D83" s="165"/>
      <c r="E83" s="166"/>
      <c r="F83" s="165"/>
      <c r="G83" s="167"/>
      <c r="H83" s="168"/>
      <c r="I83" s="167"/>
      <c r="J83" s="169"/>
      <c r="K83" s="167"/>
      <c r="L83" s="169"/>
      <c r="M83" s="167"/>
      <c r="N83" s="167"/>
      <c r="O83" s="169"/>
      <c r="P83" s="169"/>
      <c r="Q83" s="167"/>
      <c r="R83" s="169"/>
    </row>
    <row r="84" spans="1:18" s="112" customFormat="1" ht="18.75" customHeight="1">
      <c r="A84" s="132"/>
      <c r="B84" s="133" t="s">
        <v>55</v>
      </c>
      <c r="C84" s="134"/>
      <c r="D84" s="135">
        <f>F84+E84</f>
        <v>9700000</v>
      </c>
      <c r="E84" s="136">
        <f>E43+E46+E50+E54+E58+E62+E66+E70</f>
        <v>400000</v>
      </c>
      <c r="F84" s="135">
        <f>F43+F46+F50+F54+F58+F62+F66+F70</f>
        <v>9300000</v>
      </c>
      <c r="G84" s="137">
        <f>J84+I84</f>
        <v>0</v>
      </c>
      <c r="H84" s="138">
        <f>G84*100/D84</f>
        <v>0</v>
      </c>
      <c r="I84" s="137">
        <f>I43+I46+I50+I54+I58+I62+I66+I70</f>
        <v>0</v>
      </c>
      <c r="J84" s="139">
        <f>J43+J46+J50+J54+J58+J62+J66+J70</f>
        <v>0</v>
      </c>
      <c r="K84" s="137">
        <f>N84+M84</f>
        <v>0</v>
      </c>
      <c r="L84" s="138">
        <f>K84*100/D84</f>
        <v>0</v>
      </c>
      <c r="M84" s="137">
        <f>M43+M46+M50+M54+M58+M62+M66+M70</f>
        <v>0</v>
      </c>
      <c r="N84" s="137">
        <f>N43+N46+N50+N54+N58+N62+N66+N70</f>
        <v>0</v>
      </c>
      <c r="O84" s="139">
        <f>D84-G84-K84</f>
        <v>9700000</v>
      </c>
      <c r="P84" s="140">
        <f>O84*100/D84</f>
        <v>100</v>
      </c>
      <c r="Q84" s="140">
        <f>E84-I84-M84</f>
        <v>400000</v>
      </c>
      <c r="R84" s="140">
        <f>F84-J84-N84</f>
        <v>9300000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Administrator</cp:lastModifiedBy>
  <cp:lastPrinted>2017-12-29T09:07:03Z</cp:lastPrinted>
  <dcterms:created xsi:type="dcterms:W3CDTF">2009-12-25T03:29:35Z</dcterms:created>
  <dcterms:modified xsi:type="dcterms:W3CDTF">2017-12-29T09:09:48Z</dcterms:modified>
  <cp:category/>
  <cp:version/>
  <cp:contentType/>
  <cp:contentStatus/>
</cp:coreProperties>
</file>