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<sst xmlns="http://schemas.openxmlformats.org/spreadsheetml/2006/main" count="415" uniqueCount="205">
  <si>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</si>
  <si>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</si>
  <si>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</si>
  <si>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</si>
  <si>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</si>
  <si>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</si>
  <si>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</si>
  <si>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</si>
  <si>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</si>
  <si>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</si>
  <si>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</si>
  <si>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</si>
  <si>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</si>
  <si>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</si>
  <si>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</si>
  <si>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</si>
  <si>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</si>
  <si>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</si>
  <si>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</si>
  <si>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</si>
  <si>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</si>
  <si>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</si>
  <si>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</si>
  <si>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</si>
  <si>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</si>
  <si>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</si>
  <si>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</si>
  <si>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</si>
  <si>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</si>
  <si>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</si>
  <si>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</si>
  <si>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</si>
  <si>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</si>
  <si>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</si>
  <si>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</si>
  <si>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</si>
  <si>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</si>
  <si>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</si>
  <si>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</si>
  <si>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</si>
  <si>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</si>
  <si>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</si>
  <si>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</si>
  <si>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</si>
  <si>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</si>
  <si>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</si>
  <si>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</si>
  <si>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</si>
  <si>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</si>
  <si>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</si>
  <si>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</si>
  <si>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</si>
  <si>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</si>
  <si>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</si>
  <si>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</si>
  <si>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</si>
  <si>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</si>
  <si>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</si>
  <si>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</si>
  <si>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</si>
  <si>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</si>
  <si>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</si>
  <si>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</si>
  <si>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</si>
  <si>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</si>
  <si>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</si>
  <si>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</si>
  <si>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</si>
  <si>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</si>
  <si>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</si>
  <si>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</si>
  <si>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</si>
  <si>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</si>
  <si>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</si>
  <si>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</si>
  <si>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</si>
  <si>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</si>
  <si>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</si>
  <si>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</si>
  <si>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</si>
  <si>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</si>
  <si>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</si>
  <si>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</si>
  <si>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</si>
  <si>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</si>
  <si>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</si>
  <si>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</si>
  <si>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</si>
  <si>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</si>
  <si>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</si>
  <si>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</si>
  <si>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</si>
  <si>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</si>
  <si>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</si>
  <si>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</si>
  <si>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</si>
  <si>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</si>
  <si>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</si>
  <si>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</si>
  <si>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</si>
  <si>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</si>
  <si>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</si>
  <si>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</si>
  <si>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</si>
  <si>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</si>
  <si>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</si>
  <si>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</si>
  <si>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</si>
  <si>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</si>
  <si>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</si>
  <si>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</si>
  <si>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</si>
  <si>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</si>
  <si>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</si>
  <si>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</si>
  <si>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</si>
  <si>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</si>
  <si>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</si>
  <si>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</si>
  <si>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</si>
  <si>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</si>
  <si>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</si>
  <si>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</si>
  <si>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</si>
  <si>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</si>
  <si>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</si>
  <si>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</si>
  <si>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</si>
  <si>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</si>
  <si>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</si>
  <si>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</si>
  <si>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</si>
  <si>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</si>
  <si>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</si>
  <si>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</si>
  <si>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</si>
  <si>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</si>
  <si>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</si>
  <si>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</si>
  <si>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</si>
  <si>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</si>
  <si>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</si>
  <si>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</si>
  <si>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</si>
  <si>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</si>
  <si>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</si>
  <si>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</si>
  <si>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</si>
  <si>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</si>
  <si>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</si>
  <si>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</si>
  <si>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</si>
  <si>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</si>
  <si>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</si>
  <si>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</si>
  <si>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</si>
  <si>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</si>
  <si>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</si>
  <si>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</si>
  <si>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</si>
  <si>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</si>
  <si>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</si>
  <si>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</si>
  <si>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</si>
  <si>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</si>
  <si>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</si>
  <si>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</si>
  <si>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</si>
  <si>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</si>
  <si>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</si>
  <si>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</si>
  <si>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</si>
  <si>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</si>
  <si>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</si>
  <si>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</si>
  <si>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</si>
  <si>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</si>
  <si>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</si>
  <si>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</si>
  <si>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</si>
  <si>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</si>
  <si>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</si>
  <si>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</si>
  <si>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</si>
  <si>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</si>
  <si>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</si>
  <si>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</si>
  <si>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</si>
  <si>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</si>
  <si>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</si>
  <si>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</si>
  <si>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</si>
  <si>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</si>
  <si>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</si>
  <si>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</si>
  <si>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</si>
  <si>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</si>
  <si>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</si>
  <si>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</si>
  <si>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</si>
  <si>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</si>
  <si>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</si>
  <si>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</si>
  <si>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</si>
  <si>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รายงานผลการเบิกจ่าย  โครงการส่งน้ำและบำรุงรักษากิ่วลม-กิ่วคอหมา  ณ วันที่   1   ธ.ค. 2560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</si>
</sst>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194" fontId="25" fillId="33" borderId="13" xfId="0" applyNumberFormat="1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1" t="s">
        <v>76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5.75" customHeight="1">
      <c r="A2" s="202" t="s">
        <v>0</v>
      </c>
      <c r="B2" s="202" t="s">
        <v>1</v>
      </c>
      <c r="C2" s="203" t="s">
        <v>2</v>
      </c>
      <c r="D2" s="204" t="s">
        <v>3</v>
      </c>
      <c r="E2" s="204"/>
      <c r="F2" s="204"/>
      <c r="G2" s="204" t="s">
        <v>7</v>
      </c>
      <c r="H2" s="204"/>
      <c r="I2" s="204"/>
      <c r="J2" s="204"/>
      <c r="K2" s="204" t="s">
        <v>9</v>
      </c>
      <c r="L2" s="204"/>
      <c r="M2" s="204"/>
      <c r="N2" s="204"/>
      <c r="O2" s="204" t="s">
        <v>10</v>
      </c>
      <c r="P2" s="204"/>
      <c r="Q2" s="204"/>
      <c r="R2" s="204"/>
    </row>
    <row r="3" spans="1:18" ht="14.25" customHeight="1">
      <c r="A3" s="202"/>
      <c r="B3" s="202"/>
      <c r="C3" s="203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1" t="s">
        <v>78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5.75" customHeight="1">
      <c r="A2" s="202" t="s">
        <v>0</v>
      </c>
      <c r="B2" s="202" t="s">
        <v>1</v>
      </c>
      <c r="C2" s="203" t="s">
        <v>2</v>
      </c>
      <c r="D2" s="204" t="s">
        <v>3</v>
      </c>
      <c r="E2" s="204"/>
      <c r="F2" s="204"/>
      <c r="G2" s="204" t="s">
        <v>7</v>
      </c>
      <c r="H2" s="204"/>
      <c r="I2" s="204"/>
      <c r="J2" s="204"/>
      <c r="K2" s="204" t="s">
        <v>9</v>
      </c>
      <c r="L2" s="204"/>
      <c r="M2" s="204"/>
      <c r="N2" s="204"/>
      <c r="O2" s="204" t="s">
        <v>10</v>
      </c>
      <c r="P2" s="204"/>
      <c r="Q2" s="204"/>
      <c r="R2" s="204"/>
    </row>
    <row r="3" spans="1:18" ht="14.25" customHeight="1">
      <c r="A3" s="202"/>
      <c r="B3" s="202"/>
      <c r="C3" s="203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N117" sqref="N117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5" t="s">
        <v>204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5.75" customHeight="1">
      <c r="A2" s="206" t="s">
        <v>0</v>
      </c>
      <c r="B2" s="206" t="s">
        <v>1</v>
      </c>
      <c r="C2" s="207" t="s">
        <v>2</v>
      </c>
      <c r="D2" s="208" t="s">
        <v>3</v>
      </c>
      <c r="E2" s="208"/>
      <c r="F2" s="208"/>
      <c r="G2" s="208" t="s">
        <v>7</v>
      </c>
      <c r="H2" s="208"/>
      <c r="I2" s="208"/>
      <c r="J2" s="208"/>
      <c r="K2" s="208" t="s">
        <v>9</v>
      </c>
      <c r="L2" s="208"/>
      <c r="M2" s="208"/>
      <c r="N2" s="208"/>
      <c r="O2" s="208" t="s">
        <v>10</v>
      </c>
      <c r="P2" s="208"/>
      <c r="Q2" s="208"/>
      <c r="R2" s="208"/>
    </row>
    <row r="3" spans="1:18" ht="14.25" customHeight="1">
      <c r="A3" s="206"/>
      <c r="B3" s="206"/>
      <c r="C3" s="207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134291100</v>
      </c>
      <c r="E4" s="113">
        <f>SUM(E61+E98+E104+E118)</f>
        <v>2896900</v>
      </c>
      <c r="F4" s="113">
        <f>SUM(F61+F98+F104+F118)</f>
        <v>131394200</v>
      </c>
      <c r="G4" s="115">
        <f>I4+J4</f>
        <v>1532778.17</v>
      </c>
      <c r="H4" s="115">
        <f>G4*100/D4</f>
        <v>1.1413847753127349</v>
      </c>
      <c r="I4" s="113">
        <f>SUM(I61+I98+I104+I118)</f>
        <v>0</v>
      </c>
      <c r="J4" s="113">
        <f>SUM(J61+J98+J104+J118)</f>
        <v>1532778.17</v>
      </c>
      <c r="K4" s="115">
        <f>M4+N4</f>
        <v>7387130.890000001</v>
      </c>
      <c r="L4" s="115">
        <f>K4*100/D4</f>
        <v>5.5008342995179875</v>
      </c>
      <c r="M4" s="113">
        <f>SUM(M61+M98+M104+M118)</f>
        <v>0</v>
      </c>
      <c r="N4" s="113">
        <f>SUM(N61+N98+N104+N118)</f>
        <v>7387130.890000001</v>
      </c>
      <c r="O4" s="113">
        <f>Q4+R4</f>
        <v>125371190.94</v>
      </c>
      <c r="P4" s="113">
        <f>O4*100/D4</f>
        <v>93.35778092516928</v>
      </c>
      <c r="Q4" s="113">
        <f>SUM(Q61+Q98+Q104+Q118)</f>
        <v>2896900</v>
      </c>
      <c r="R4" s="113">
        <f>SUM(R61+R98+R104+R118)</f>
        <v>122474290.94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0</v>
      </c>
      <c r="L7" s="116">
        <f>K7*100/D7</f>
        <v>0</v>
      </c>
      <c r="M7" s="91"/>
      <c r="N7" s="91"/>
      <c r="O7" s="91">
        <f>D7-G7-K7</f>
        <v>383410</v>
      </c>
      <c r="P7" s="92">
        <f>O7*100/D7</f>
        <v>95.8525</v>
      </c>
      <c r="Q7" s="91">
        <f>E7-I7-M7</f>
        <v>0</v>
      </c>
      <c r="R7" s="92">
        <f>F7-J7-N7</f>
        <v>383410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0</v>
      </c>
      <c r="H10" s="99">
        <f>G10*100/D10</f>
        <v>0</v>
      </c>
      <c r="I10" s="91"/>
      <c r="J10" s="92"/>
      <c r="K10" s="91">
        <f>N10+M10</f>
        <v>264457.9</v>
      </c>
      <c r="L10" s="116">
        <f>K10*100/D10</f>
        <v>5.325263285072794</v>
      </c>
      <c r="M10" s="91"/>
      <c r="N10" s="91">
        <f>264457.9</f>
        <v>264457.9</v>
      </c>
      <c r="O10" s="91">
        <f>D10-G10-K10</f>
        <v>4701642.1</v>
      </c>
      <c r="P10" s="92">
        <f>O10*100/D10</f>
        <v>94.67473671492719</v>
      </c>
      <c r="Q10" s="91">
        <f>E10-I10-M10</f>
        <v>0</v>
      </c>
      <c r="R10" s="92">
        <f>F10-J10-N10</f>
        <v>4701642.1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117">
        <f>F15+E15</f>
        <v>1000000</v>
      </c>
      <c r="E15" s="98">
        <v>400000</v>
      </c>
      <c r="F15" s="117">
        <v>600000</v>
      </c>
      <c r="G15" s="92">
        <f>J15+I15</f>
        <v>0</v>
      </c>
      <c r="H15" s="99">
        <f>G15*100/D15</f>
        <v>0</v>
      </c>
      <c r="I15" s="91"/>
      <c r="J15" s="92"/>
      <c r="K15" s="91">
        <f>N15+M15</f>
        <v>0</v>
      </c>
      <c r="L15" s="116">
        <f>K15*100/D15</f>
        <v>0</v>
      </c>
      <c r="M15" s="91"/>
      <c r="N15" s="91"/>
      <c r="O15" s="92">
        <f>D15-G15-K15</f>
        <v>1000000</v>
      </c>
      <c r="P15" s="92">
        <f>O15*100/D15</f>
        <v>100</v>
      </c>
      <c r="Q15" s="92">
        <f>E15-I15-M15</f>
        <v>400000</v>
      </c>
      <c r="R15" s="91">
        <f>F15-J15-N15</f>
        <v>600000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0</v>
      </c>
      <c r="H18" s="99">
        <f>G18*100/D18</f>
        <v>0</v>
      </c>
      <c r="I18" s="91"/>
      <c r="J18" s="92"/>
      <c r="K18" s="91">
        <f>N18+M18</f>
        <v>432848.2</v>
      </c>
      <c r="L18" s="116">
        <f>K18*100/D18</f>
        <v>43.28482</v>
      </c>
      <c r="M18" s="91"/>
      <c r="N18" s="91">
        <f>21632.4+27898+68442+98865+132720+83290.8</f>
        <v>432848.2</v>
      </c>
      <c r="O18" s="92">
        <f>D18-G18-K18</f>
        <v>567151.8</v>
      </c>
      <c r="P18" s="92">
        <f>O18*100/D18</f>
        <v>56.71518000000001</v>
      </c>
      <c r="Q18" s="92">
        <f>E18-I18-M18</f>
        <v>0</v>
      </c>
      <c r="R18" s="92">
        <f>F18-J18-N18</f>
        <v>567151.8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39379</v>
      </c>
      <c r="H22" s="99">
        <f>G22*100/D22</f>
        <v>7.8758</v>
      </c>
      <c r="I22" s="91"/>
      <c r="J22" s="92">
        <f>3479+35900</f>
        <v>39379</v>
      </c>
      <c r="K22" s="92">
        <f>N22+M22</f>
        <v>36652.6</v>
      </c>
      <c r="L22" s="116">
        <f>K22*100/D22</f>
        <v>7.33052</v>
      </c>
      <c r="M22" s="91"/>
      <c r="N22" s="92">
        <f>29000+7652.6</f>
        <v>36652.6</v>
      </c>
      <c r="O22" s="92">
        <f>D22-G22-K22</f>
        <v>423968.4</v>
      </c>
      <c r="P22" s="92">
        <f>O22*100/D22</f>
        <v>84.79368</v>
      </c>
      <c r="Q22" s="92">
        <f>E22-I22-M22</f>
        <v>0</v>
      </c>
      <c r="R22" s="92">
        <f>F22-J22-N22</f>
        <v>423968.4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169782</v>
      </c>
      <c r="H26" s="99">
        <f>G26*100/D26</f>
        <v>9.987176470588235</v>
      </c>
      <c r="I26" s="91"/>
      <c r="J26" s="92">
        <f>6958+98462+53980+10382</f>
        <v>169782</v>
      </c>
      <c r="K26" s="91">
        <f>N26+M26</f>
        <v>639711.25</v>
      </c>
      <c r="L26" s="116">
        <f>K26*100/D26</f>
        <v>37.63007352941177</v>
      </c>
      <c r="M26" s="91"/>
      <c r="N26" s="91">
        <f>22380+7060+429250+10561.44+9162.41+90465+70832.4</f>
        <v>639711.25</v>
      </c>
      <c r="O26" s="92">
        <f>D26-G26-K26</f>
        <v>890506.75</v>
      </c>
      <c r="P26" s="92">
        <f>O26*100/D26</f>
        <v>52.38275</v>
      </c>
      <c r="Q26" s="92">
        <f>E26-I26-M26</f>
        <v>0</v>
      </c>
      <c r="R26" s="92">
        <f>F26-J26-N26</f>
        <v>890506.75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7509</v>
      </c>
      <c r="H30" s="99">
        <f>G30*100/D30</f>
        <v>0.5006</v>
      </c>
      <c r="I30" s="91"/>
      <c r="J30" s="92">
        <f>2054+5455</f>
        <v>7509</v>
      </c>
      <c r="K30" s="91">
        <f>N30+M30</f>
        <v>210759.75999999998</v>
      </c>
      <c r="L30" s="116">
        <f>K30*100/D30</f>
        <v>14.050650666666664</v>
      </c>
      <c r="M30" s="91"/>
      <c r="N30" s="91">
        <f>97721+16613.36+54780+41645.4</f>
        <v>210759.75999999998</v>
      </c>
      <c r="O30" s="92">
        <f>D30-G30-K30</f>
        <v>1281731.24</v>
      </c>
      <c r="P30" s="92">
        <f>O30*100/D30</f>
        <v>85.44874933333334</v>
      </c>
      <c r="Q30" s="92">
        <f>E30-I30-M30</f>
        <v>0</v>
      </c>
      <c r="R30" s="92">
        <f>F30-J30-N30</f>
        <v>1281731.24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0</v>
      </c>
      <c r="H34" s="99">
        <f>G34*100/D34</f>
        <v>0</v>
      </c>
      <c r="I34" s="91"/>
      <c r="J34" s="92"/>
      <c r="K34" s="91">
        <f>N34+M34</f>
        <v>49302</v>
      </c>
      <c r="L34" s="116">
        <f>K34*100/D34</f>
        <v>4.9302</v>
      </c>
      <c r="M34" s="91"/>
      <c r="N34" s="91">
        <f>49302</f>
        <v>49302</v>
      </c>
      <c r="O34" s="92">
        <f>D34-G34-K34</f>
        <v>950698</v>
      </c>
      <c r="P34" s="92">
        <f>O34*100/D34</f>
        <v>95.0698</v>
      </c>
      <c r="Q34" s="92">
        <f>E34-I34-M34</f>
        <v>104000</v>
      </c>
      <c r="R34" s="92">
        <f>F34-J34-N34</f>
        <v>846698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0</v>
      </c>
      <c r="H38" s="99">
        <f>G38*100/D38</f>
        <v>0</v>
      </c>
      <c r="I38" s="91"/>
      <c r="J38" s="92"/>
      <c r="K38" s="91">
        <f>N38+M38</f>
        <v>49302</v>
      </c>
      <c r="L38" s="116">
        <f>K38*100/D38</f>
        <v>3.2868</v>
      </c>
      <c r="M38" s="91"/>
      <c r="N38" s="91">
        <f>49302</f>
        <v>49302</v>
      </c>
      <c r="O38" s="92">
        <f>D38-G38-K38</f>
        <v>1450698</v>
      </c>
      <c r="P38" s="92">
        <f>O38*100/D38</f>
        <v>96.7132</v>
      </c>
      <c r="Q38" s="92">
        <f>E38-I38-M38</f>
        <v>493000</v>
      </c>
      <c r="R38" s="92">
        <f>F38-J38-N38</f>
        <v>957698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0</v>
      </c>
      <c r="H42" s="99">
        <f>G42*100/D42</f>
        <v>0</v>
      </c>
      <c r="I42" s="91"/>
      <c r="J42" s="92"/>
      <c r="K42" s="91">
        <f>N42+M42</f>
        <v>10956</v>
      </c>
      <c r="L42" s="116">
        <f>K42*100/D42</f>
        <v>0.7304</v>
      </c>
      <c r="M42" s="91"/>
      <c r="N42" s="91">
        <f>10956</f>
        <v>10956</v>
      </c>
      <c r="O42" s="92">
        <f>D42-G42-K42</f>
        <v>1489044</v>
      </c>
      <c r="P42" s="92">
        <f>O42*100/D42</f>
        <v>99.2696</v>
      </c>
      <c r="Q42" s="92">
        <f>E42-I42-M42</f>
        <v>446000</v>
      </c>
      <c r="R42" s="92">
        <f>F42-J42-N42</f>
        <v>1043044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336159</v>
      </c>
      <c r="H46" s="99">
        <f>G46*100/D46</f>
        <v>8.403975</v>
      </c>
      <c r="I46" s="91"/>
      <c r="J46" s="92">
        <f>3479+332680</f>
        <v>336159</v>
      </c>
      <c r="K46" s="92">
        <f>N46+M46</f>
        <v>425294.18999999994</v>
      </c>
      <c r="L46" s="116">
        <f>K46*100/D46</f>
        <v>10.632354749999998</v>
      </c>
      <c r="M46" s="91"/>
      <c r="N46" s="92">
        <f>28434.84+156373+95594+144892.35</f>
        <v>425294.18999999994</v>
      </c>
      <c r="O46" s="92">
        <f>D46-G46-K46</f>
        <v>3238546.81</v>
      </c>
      <c r="P46" s="92">
        <f>O46*100/D46</f>
        <v>80.96367025</v>
      </c>
      <c r="Q46" s="92">
        <f>E46-I46-M46</f>
        <v>0</v>
      </c>
      <c r="R46" s="92">
        <f>F46-J46-N46</f>
        <v>3238546.81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9.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799087.9</v>
      </c>
      <c r="L50" s="116">
        <f>K50*100/D50</f>
        <v>26.636263333333332</v>
      </c>
      <c r="M50" s="91"/>
      <c r="N50" s="91">
        <f>40568.8+298258+350750+109511.1</f>
        <v>799087.9</v>
      </c>
      <c r="O50" s="92">
        <f>D50-G50-K50</f>
        <v>2200912.1</v>
      </c>
      <c r="P50" s="92">
        <f>O50*100/D50</f>
        <v>73.36373666666667</v>
      </c>
      <c r="Q50" s="92">
        <f>E50-I50-M50</f>
        <v>0</v>
      </c>
      <c r="R50" s="92">
        <f>F50-J50-N50</f>
        <v>2200912.1</v>
      </c>
    </row>
    <row r="51" spans="1:18" s="112" customFormat="1" ht="19.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9.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487620.17</v>
      </c>
      <c r="H54" s="99">
        <f>G54*100/D54</f>
        <v>19.5048068</v>
      </c>
      <c r="I54" s="91"/>
      <c r="J54" s="92">
        <f>3479+73034.17+288102+23540+99465</f>
        <v>487620.17</v>
      </c>
      <c r="K54" s="91">
        <f>N54+M54</f>
        <v>645299.4</v>
      </c>
      <c r="L54" s="116">
        <f>K54*100/D54</f>
        <v>25.811976</v>
      </c>
      <c r="M54" s="91"/>
      <c r="N54" s="91">
        <f>292458+192489+160352.4</f>
        <v>645299.4</v>
      </c>
      <c r="O54" s="92">
        <f>D54-G54-K54</f>
        <v>1367080.4300000002</v>
      </c>
      <c r="P54" s="92">
        <f>O54*100/D54</f>
        <v>54.68321720000001</v>
      </c>
      <c r="Q54" s="92">
        <f>E54-I54-M54</f>
        <v>0</v>
      </c>
      <c r="R54" s="92">
        <f>F54-J54-N54</f>
        <v>1367080.4300000002</v>
      </c>
    </row>
    <row r="55" spans="1:18" s="112" customFormat="1" ht="19.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9.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53980</v>
      </c>
      <c r="H58" s="99">
        <f>G58*100/D58</f>
        <v>2.3469565217391306</v>
      </c>
      <c r="I58" s="91"/>
      <c r="J58" s="92">
        <f>53980</f>
        <v>53980</v>
      </c>
      <c r="K58" s="91">
        <f>N58+M58</f>
        <v>973465.65</v>
      </c>
      <c r="L58" s="116">
        <f>K58*100/D58</f>
        <v>42.32459347826087</v>
      </c>
      <c r="M58" s="91"/>
      <c r="N58" s="91">
        <f>95817+82717.35+193760+483176+117995.3</f>
        <v>973465.65</v>
      </c>
      <c r="O58" s="92">
        <f>D58-G58-K58</f>
        <v>1272554.35</v>
      </c>
      <c r="P58" s="92">
        <f>O58*100/D58</f>
        <v>55.328450000000004</v>
      </c>
      <c r="Q58" s="92">
        <f>E58-I58-M58</f>
        <v>0</v>
      </c>
      <c r="R58" s="92">
        <f>F58-J58-N58</f>
        <v>1272554.35</v>
      </c>
    </row>
    <row r="59" spans="1:18" s="112" customFormat="1" ht="19.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9.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8.75" customHeight="1">
      <c r="A61" s="94"/>
      <c r="B61" s="180" t="s">
        <v>55</v>
      </c>
      <c r="C61" s="181"/>
      <c r="D61" s="184">
        <f>F61+E61</f>
        <v>26866100</v>
      </c>
      <c r="E61" s="185">
        <f>E7+E10+E15+E18+E22+E26+E30+E34+E38+E42+E46+E50+E54+E58</f>
        <v>1443000</v>
      </c>
      <c r="F61" s="184">
        <f>F7+F10+F15+F18+F22+F26+F30+F34+F38+F42+F46+F50+F54+F58</f>
        <v>25423100</v>
      </c>
      <c r="G61" s="186">
        <f>J61+I61</f>
        <v>1111019.17</v>
      </c>
      <c r="H61" s="183">
        <f>G61*100/D61</f>
        <v>4.1353943073241</v>
      </c>
      <c r="I61" s="186">
        <f>I7+I10+I15+I18+I22+I26+I30+I34+I38+I42+I46+I50+I54+I58</f>
        <v>0</v>
      </c>
      <c r="J61" s="183">
        <f>J7+J10+J15+J18+J22+J26+J30+J34+J38+J42+J46+J50+J54+J58</f>
        <v>1111019.17</v>
      </c>
      <c r="K61" s="186">
        <f>N61+M61</f>
        <v>4537136.850000001</v>
      </c>
      <c r="L61" s="183">
        <f>K61*100/D61</f>
        <v>16.88796233915604</v>
      </c>
      <c r="M61" s="186">
        <f>M7+M10+M15+M18+M22+M26+M30+M34+M38+M42+M46+M50+M54+M58</f>
        <v>0</v>
      </c>
      <c r="N61" s="186">
        <f>N7+N10+N15+N18+N22+N26+N30+N34+N38+N42+N46+N50+N54+N58</f>
        <v>4537136.850000001</v>
      </c>
      <c r="O61" s="183">
        <f>D61-G61-K61</f>
        <v>21217943.979999997</v>
      </c>
      <c r="P61" s="183">
        <f>O61*100/D61</f>
        <v>78.97664335351986</v>
      </c>
      <c r="Q61" s="210">
        <f>E61-I61-M61</f>
        <v>1443000</v>
      </c>
      <c r="R61" s="182">
        <f>F61-J61-N61</f>
        <v>19774943.979999997</v>
      </c>
    </row>
    <row r="62" spans="1:18" ht="18.75" customHeight="1">
      <c r="A62" s="157">
        <v>2</v>
      </c>
      <c r="B62" s="120" t="s">
        <v>199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2"/>
    </row>
    <row r="63" spans="1:18" s="112" customFormat="1" ht="18.75" customHeight="1">
      <c r="A63" s="100"/>
      <c r="B63" s="86" t="s">
        <v>132</v>
      </c>
      <c r="C63" s="107"/>
      <c r="D63" s="108"/>
      <c r="E63" s="109"/>
      <c r="F63" s="108"/>
      <c r="G63" s="110"/>
      <c r="H63" s="99"/>
      <c r="I63" s="110"/>
      <c r="J63" s="111"/>
      <c r="K63" s="110"/>
      <c r="L63" s="99"/>
      <c r="M63" s="110"/>
      <c r="N63" s="110"/>
      <c r="O63" s="111"/>
      <c r="P63" s="111"/>
      <c r="Q63" s="110"/>
      <c r="R63" s="99"/>
    </row>
    <row r="64" spans="1:18" s="112" customFormat="1" ht="18.75" customHeight="1">
      <c r="A64" s="88" t="s">
        <v>138</v>
      </c>
      <c r="B64" s="87" t="s">
        <v>98</v>
      </c>
      <c r="C64" s="88" t="s">
        <v>100</v>
      </c>
      <c r="D64" s="117">
        <f>F64+E64</f>
        <v>1908000</v>
      </c>
      <c r="E64" s="98"/>
      <c r="F64" s="117">
        <v>1908000</v>
      </c>
      <c r="G64" s="92">
        <f>J64+I64</f>
        <v>88600</v>
      </c>
      <c r="H64" s="99">
        <f>G64*100/D64</f>
        <v>4.643605870020965</v>
      </c>
      <c r="I64" s="91"/>
      <c r="J64" s="92">
        <f>34620+53980</f>
        <v>88600</v>
      </c>
      <c r="K64" s="91">
        <f>N64+M64</f>
        <v>268530.70999999996</v>
      </c>
      <c r="L64" s="116">
        <f>K64*100/D64</f>
        <v>14.073936582809223</v>
      </c>
      <c r="M64" s="91"/>
      <c r="N64" s="91">
        <f>43230+15478+8989.07+28031.5+54780+68748.04+18360+30914.1</f>
        <v>268530.70999999996</v>
      </c>
      <c r="O64" s="91">
        <f>D64-G64-K64</f>
        <v>1550869.29</v>
      </c>
      <c r="P64" s="92">
        <f>O64*100/D64</f>
        <v>81.28245754716981</v>
      </c>
      <c r="Q64" s="91">
        <f>E64-I64-M64</f>
        <v>0</v>
      </c>
      <c r="R64" s="92">
        <f>F64-J64-N64</f>
        <v>1550869.29</v>
      </c>
    </row>
    <row r="65" spans="1:18" s="112" customFormat="1" ht="18.75" customHeight="1">
      <c r="A65" s="100"/>
      <c r="B65" s="87" t="s">
        <v>99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100"/>
      <c r="B66" s="86" t="s">
        <v>131</v>
      </c>
      <c r="C66" s="107"/>
      <c r="D66" s="147"/>
      <c r="E66" s="148"/>
      <c r="F66" s="147"/>
      <c r="G66" s="110"/>
      <c r="H66" s="99"/>
      <c r="I66" s="110"/>
      <c r="J66" s="111"/>
      <c r="K66" s="110"/>
      <c r="L66" s="111"/>
      <c r="M66" s="110"/>
      <c r="N66" s="110"/>
      <c r="O66" s="111"/>
      <c r="P66" s="111"/>
      <c r="Q66" s="110"/>
      <c r="R66" s="111"/>
    </row>
    <row r="67" spans="1:18" s="112" customFormat="1" ht="18.75" customHeight="1">
      <c r="A67" s="88" t="s">
        <v>139</v>
      </c>
      <c r="B67" s="87" t="s">
        <v>126</v>
      </c>
      <c r="C67" s="88" t="s">
        <v>128</v>
      </c>
      <c r="D67" s="117">
        <f>F67+E67</f>
        <v>14489000</v>
      </c>
      <c r="E67" s="98"/>
      <c r="F67" s="117">
        <v>14489000</v>
      </c>
      <c r="G67" s="92">
        <f>J67+I67</f>
        <v>0</v>
      </c>
      <c r="H67" s="99">
        <f>G67*100/D67</f>
        <v>0</v>
      </c>
      <c r="I67" s="91"/>
      <c r="J67" s="92"/>
      <c r="K67" s="91">
        <f>N67+M67</f>
        <v>0</v>
      </c>
      <c r="L67" s="116">
        <f>K67*100/D67</f>
        <v>0</v>
      </c>
      <c r="M67" s="91"/>
      <c r="N67" s="91"/>
      <c r="O67" s="92">
        <f>D67-G67-K67</f>
        <v>14489000</v>
      </c>
      <c r="P67" s="92">
        <f>O67*100/D67</f>
        <v>100</v>
      </c>
      <c r="Q67" s="91">
        <f>E67-I67-M67</f>
        <v>0</v>
      </c>
      <c r="R67" s="176">
        <f>F67-J67-N67</f>
        <v>14489000</v>
      </c>
    </row>
    <row r="68" spans="1:18" s="112" customFormat="1" ht="18.75" customHeight="1">
      <c r="A68" s="100"/>
      <c r="B68" s="87" t="s">
        <v>127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100"/>
      <c r="B69" s="86" t="s">
        <v>133</v>
      </c>
      <c r="C69" s="107"/>
      <c r="D69" s="147"/>
      <c r="E69" s="148"/>
      <c r="F69" s="147"/>
      <c r="G69" s="110"/>
      <c r="H69" s="99"/>
      <c r="I69" s="110"/>
      <c r="J69" s="111"/>
      <c r="K69" s="110"/>
      <c r="L69" s="111"/>
      <c r="M69" s="110"/>
      <c r="N69" s="110"/>
      <c r="O69" s="111"/>
      <c r="P69" s="111"/>
      <c r="Q69" s="110"/>
      <c r="R69" s="116"/>
    </row>
    <row r="70" spans="1:18" s="112" customFormat="1" ht="18.75" customHeight="1">
      <c r="A70" s="88" t="s">
        <v>140</v>
      </c>
      <c r="B70" s="87" t="s">
        <v>129</v>
      </c>
      <c r="C70" s="88" t="s">
        <v>128</v>
      </c>
      <c r="D70" s="117">
        <f>F70+E70</f>
        <v>25192000</v>
      </c>
      <c r="E70" s="98"/>
      <c r="F70" s="117">
        <v>25192000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25192000</v>
      </c>
      <c r="P70" s="92">
        <f>O70*100/D70</f>
        <v>100</v>
      </c>
      <c r="Q70" s="91">
        <f>E70-I70-M70</f>
        <v>0</v>
      </c>
      <c r="R70" s="176">
        <f>F70-J70-N70</f>
        <v>25192000</v>
      </c>
    </row>
    <row r="71" spans="1:18" s="112" customFormat="1" ht="18.75" customHeight="1">
      <c r="A71" s="100"/>
      <c r="B71" s="87" t="s">
        <v>130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7" t="s">
        <v>54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>
        <v>2.4</v>
      </c>
      <c r="B73" s="86" t="s">
        <v>183</v>
      </c>
      <c r="C73" s="107"/>
      <c r="D73" s="108"/>
      <c r="E73" s="109"/>
      <c r="F73" s="108"/>
      <c r="G73" s="110"/>
      <c r="H73" s="99"/>
      <c r="I73" s="110"/>
      <c r="J73" s="111"/>
      <c r="K73" s="110"/>
      <c r="L73" s="111"/>
      <c r="M73" s="110"/>
      <c r="N73" s="110"/>
      <c r="O73" s="111"/>
      <c r="P73" s="111"/>
      <c r="Q73" s="110"/>
      <c r="R73" s="111"/>
    </row>
    <row r="74" spans="1:18" s="112" customFormat="1" ht="18.75" customHeight="1">
      <c r="A74" s="100"/>
      <c r="B74" s="87" t="s">
        <v>184</v>
      </c>
      <c r="C74" s="88" t="s">
        <v>128</v>
      </c>
      <c r="D74" s="117">
        <f>F74+E74</f>
        <v>3360000</v>
      </c>
      <c r="E74" s="98">
        <v>488900</v>
      </c>
      <c r="F74" s="117">
        <v>2871100</v>
      </c>
      <c r="G74" s="92">
        <f>J74+I74</f>
        <v>0</v>
      </c>
      <c r="H74" s="99">
        <f>G74*100/D74</f>
        <v>0</v>
      </c>
      <c r="I74" s="91"/>
      <c r="J74" s="92"/>
      <c r="K74" s="91">
        <f>N74+M74</f>
        <v>0</v>
      </c>
      <c r="L74" s="116">
        <f>K74*100/D74</f>
        <v>0</v>
      </c>
      <c r="M74" s="91"/>
      <c r="N74" s="91"/>
      <c r="O74" s="92">
        <f>D74-G74-K74</f>
        <v>3360000</v>
      </c>
      <c r="P74" s="92">
        <f>O74*100/D74</f>
        <v>100</v>
      </c>
      <c r="Q74" s="92">
        <f>E74-I74-M74</f>
        <v>488900</v>
      </c>
      <c r="R74" s="176">
        <f>F74-J74-N74</f>
        <v>2871100</v>
      </c>
    </row>
    <row r="75" spans="1:18" s="112" customFormat="1" ht="18.75" customHeight="1">
      <c r="A75" s="100"/>
      <c r="B75" s="87" t="s">
        <v>185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/>
      <c r="B76" s="87" t="s">
        <v>80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>
        <v>2.5</v>
      </c>
      <c r="B77" s="86" t="s">
        <v>186</v>
      </c>
      <c r="C77" s="107"/>
      <c r="D77" s="108"/>
      <c r="E77" s="109"/>
      <c r="F77" s="108"/>
      <c r="G77" s="110"/>
      <c r="H77" s="99"/>
      <c r="I77" s="110"/>
      <c r="J77" s="111"/>
      <c r="K77" s="110"/>
      <c r="L77" s="111"/>
      <c r="M77" s="110"/>
      <c r="N77" s="110"/>
      <c r="O77" s="111"/>
      <c r="P77" s="111"/>
      <c r="Q77" s="110"/>
      <c r="R77" s="111"/>
    </row>
    <row r="78" spans="1:18" s="112" customFormat="1" ht="18.75" customHeight="1">
      <c r="A78" s="100"/>
      <c r="B78" s="87" t="s">
        <v>190</v>
      </c>
      <c r="C78" s="88" t="s">
        <v>128</v>
      </c>
      <c r="D78" s="117">
        <f>F78+E78</f>
        <v>4800000</v>
      </c>
      <c r="E78" s="98"/>
      <c r="F78" s="117">
        <v>4800000</v>
      </c>
      <c r="G78" s="92">
        <f>J78+I78</f>
        <v>252189</v>
      </c>
      <c r="H78" s="99">
        <f>G78*100/D78</f>
        <v>5.2539375</v>
      </c>
      <c r="I78" s="91"/>
      <c r="J78" s="92">
        <f>3479+16590+79170+53980+98970</f>
        <v>252189</v>
      </c>
      <c r="K78" s="92">
        <f>N78+M78</f>
        <v>681142.18</v>
      </c>
      <c r="L78" s="99">
        <f>K78*100/D78</f>
        <v>14.190462083333333</v>
      </c>
      <c r="M78" s="92"/>
      <c r="N78" s="92">
        <f>179663+285519.78+215959.4</f>
        <v>681142.18</v>
      </c>
      <c r="O78" s="92">
        <f>D78-G78-K78</f>
        <v>3866668.82</v>
      </c>
      <c r="P78" s="92">
        <f>O78*100/D78</f>
        <v>80.55560041666666</v>
      </c>
      <c r="Q78" s="91">
        <f>E78-I78-M78</f>
        <v>0</v>
      </c>
      <c r="R78" s="176">
        <f>F78-J78-N78</f>
        <v>3866668.82</v>
      </c>
    </row>
    <row r="79" spans="1:18" s="112" customFormat="1" ht="18.75" customHeight="1">
      <c r="A79" s="100"/>
      <c r="B79" s="87" t="s">
        <v>48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2.6</v>
      </c>
      <c r="B80" s="86" t="s">
        <v>187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188</v>
      </c>
      <c r="C81" s="88" t="s">
        <v>128</v>
      </c>
      <c r="D81" s="117">
        <f>F81+E81</f>
        <v>5722000</v>
      </c>
      <c r="E81" s="98"/>
      <c r="F81" s="117">
        <v>5722000</v>
      </c>
      <c r="G81" s="92">
        <f>J81+I81</f>
        <v>80970</v>
      </c>
      <c r="H81" s="99">
        <f>G81*100/D81</f>
        <v>1.4150646627053478</v>
      </c>
      <c r="I81" s="91"/>
      <c r="J81" s="92">
        <f>80970</f>
        <v>80970</v>
      </c>
      <c r="K81" s="91">
        <f>N81+M81</f>
        <v>298969.55</v>
      </c>
      <c r="L81" s="116">
        <f>K81*100/D81</f>
        <v>5.224913491786089</v>
      </c>
      <c r="M81" s="91"/>
      <c r="N81" s="91">
        <f>61908.8+20160+216900.75</f>
        <v>298969.55</v>
      </c>
      <c r="O81" s="92">
        <f>D81-G81-K81</f>
        <v>5342060.45</v>
      </c>
      <c r="P81" s="92">
        <f>O81*100/D81</f>
        <v>93.36002184550857</v>
      </c>
      <c r="Q81" s="91">
        <f>E81-I81-M81</f>
        <v>0</v>
      </c>
      <c r="R81" s="176">
        <f>F81-J81-N81</f>
        <v>5342060.45</v>
      </c>
    </row>
    <row r="82" spans="1:18" s="112" customFormat="1" ht="16.5" customHeight="1">
      <c r="A82" s="100"/>
      <c r="B82" s="87" t="s">
        <v>49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7.25" customHeight="1">
      <c r="A83" s="100">
        <v>2.7</v>
      </c>
      <c r="B83" s="86" t="s">
        <v>191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192</v>
      </c>
      <c r="C84" s="88" t="s">
        <v>194</v>
      </c>
      <c r="D84" s="117">
        <f>F84+E84</f>
        <v>9621000</v>
      </c>
      <c r="E84" s="98">
        <v>470000</v>
      </c>
      <c r="F84" s="117">
        <v>9151000</v>
      </c>
      <c r="G84" s="92">
        <f>J84+I84</f>
        <v>0</v>
      </c>
      <c r="H84" s="99">
        <f>G84*100/D84</f>
        <v>0</v>
      </c>
      <c r="I84" s="91"/>
      <c r="J84" s="92"/>
      <c r="K84" s="91">
        <f>N84+M84</f>
        <v>0</v>
      </c>
      <c r="L84" s="116">
        <f>K84*100/D84</f>
        <v>0</v>
      </c>
      <c r="M84" s="91"/>
      <c r="N84" s="91"/>
      <c r="O84" s="92">
        <f>D84-G84-K84</f>
        <v>9621000</v>
      </c>
      <c r="P84" s="92">
        <f>O84*100/D84</f>
        <v>100</v>
      </c>
      <c r="Q84" s="92">
        <f>E84-I84-M84</f>
        <v>470000</v>
      </c>
      <c r="R84" s="176">
        <f>F84-J84-N84</f>
        <v>9151000</v>
      </c>
    </row>
    <row r="85" spans="1:18" s="112" customFormat="1" ht="18.75" customHeight="1">
      <c r="A85" s="100"/>
      <c r="B85" s="87" t="s">
        <v>193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8.75" customHeight="1">
      <c r="A86" s="100">
        <v>2.8</v>
      </c>
      <c r="B86" s="86" t="s">
        <v>195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6.5" customHeight="1">
      <c r="A87" s="100"/>
      <c r="B87" s="87" t="s">
        <v>196</v>
      </c>
      <c r="C87" s="88" t="s">
        <v>194</v>
      </c>
      <c r="D87" s="117">
        <f>F87+E87</f>
        <v>9620000</v>
      </c>
      <c r="E87" s="98">
        <v>495000</v>
      </c>
      <c r="F87" s="117">
        <v>9125000</v>
      </c>
      <c r="G87" s="92">
        <f>J87+I87</f>
        <v>0</v>
      </c>
      <c r="H87" s="99">
        <f>G87*100/D87</f>
        <v>0</v>
      </c>
      <c r="I87" s="91"/>
      <c r="J87" s="92"/>
      <c r="K87" s="91">
        <f>N87+M87</f>
        <v>0</v>
      </c>
      <c r="L87" s="116">
        <f>K87*100/D87</f>
        <v>0</v>
      </c>
      <c r="M87" s="91"/>
      <c r="N87" s="91"/>
      <c r="O87" s="92">
        <f>D87-G87-K87</f>
        <v>9620000</v>
      </c>
      <c r="P87" s="92">
        <f>O87*100/D87</f>
        <v>100</v>
      </c>
      <c r="Q87" s="92">
        <f>E87-I87-M87</f>
        <v>495000</v>
      </c>
      <c r="R87" s="176">
        <f>F87-J87-N87</f>
        <v>9125000</v>
      </c>
    </row>
    <row r="88" spans="1:18" s="112" customFormat="1" ht="17.2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5.75" customHeight="1">
      <c r="A89" s="100"/>
      <c r="B89" s="177" t="s">
        <v>166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7.25" customHeight="1">
      <c r="A90" s="100"/>
      <c r="B90" s="86" t="s">
        <v>167</v>
      </c>
      <c r="C90" s="107"/>
      <c r="D90" s="108"/>
      <c r="E90" s="109"/>
      <c r="F90" s="108"/>
      <c r="G90" s="110"/>
      <c r="H90" s="99"/>
      <c r="I90" s="110"/>
      <c r="J90" s="111"/>
      <c r="K90" s="110"/>
      <c r="L90" s="111"/>
      <c r="M90" s="110"/>
      <c r="N90" s="110"/>
      <c r="O90" s="111"/>
      <c r="P90" s="111"/>
      <c r="Q90" s="110"/>
      <c r="R90" s="111"/>
    </row>
    <row r="91" spans="1:18" s="112" customFormat="1" ht="18" customHeight="1">
      <c r="A91" s="100">
        <v>2.9</v>
      </c>
      <c r="B91" s="87" t="s">
        <v>154</v>
      </c>
      <c r="C91" s="88" t="s">
        <v>157</v>
      </c>
      <c r="D91" s="117">
        <f>F91+E91</f>
        <v>3401000</v>
      </c>
      <c r="E91" s="98"/>
      <c r="F91" s="117">
        <f>3392000+9000</f>
        <v>3401000</v>
      </c>
      <c r="G91" s="92">
        <f>J91+I91</f>
        <v>0</v>
      </c>
      <c r="H91" s="99">
        <f>G91*100/D91</f>
        <v>0</v>
      </c>
      <c r="I91" s="91"/>
      <c r="J91" s="92"/>
      <c r="K91" s="91">
        <f>N91+M91</f>
        <v>0</v>
      </c>
      <c r="L91" s="116">
        <f>K91*100/D91</f>
        <v>0</v>
      </c>
      <c r="M91" s="91"/>
      <c r="N91" s="91"/>
      <c r="O91" s="92">
        <f>D91-G91-K91</f>
        <v>3401000</v>
      </c>
      <c r="P91" s="92">
        <f>O91*100/D91</f>
        <v>100</v>
      </c>
      <c r="Q91" s="91">
        <f>E91-I91-M91</f>
        <v>0</v>
      </c>
      <c r="R91" s="92">
        <f>F91-J91-N91</f>
        <v>3401000</v>
      </c>
    </row>
    <row r="92" spans="1:18" s="112" customFormat="1" ht="18" customHeight="1">
      <c r="A92" s="100"/>
      <c r="B92" s="87" t="s">
        <v>155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8" customHeight="1">
      <c r="A93" s="94"/>
      <c r="B93" s="95" t="s">
        <v>156</v>
      </c>
      <c r="C93" s="96"/>
      <c r="D93" s="126"/>
      <c r="E93" s="127"/>
      <c r="F93" s="126"/>
      <c r="G93" s="128"/>
      <c r="H93" s="129"/>
      <c r="I93" s="128"/>
      <c r="J93" s="130"/>
      <c r="K93" s="128"/>
      <c r="L93" s="130"/>
      <c r="M93" s="128"/>
      <c r="N93" s="128"/>
      <c r="O93" s="130"/>
      <c r="P93" s="130"/>
      <c r="Q93" s="128"/>
      <c r="R93" s="130"/>
    </row>
    <row r="94" spans="1:18" s="112" customFormat="1" ht="18.75" customHeight="1">
      <c r="A94" s="118"/>
      <c r="B94" s="162" t="s">
        <v>137</v>
      </c>
      <c r="C94" s="141"/>
      <c r="D94" s="142"/>
      <c r="E94" s="143"/>
      <c r="F94" s="142"/>
      <c r="G94" s="144"/>
      <c r="H94" s="145"/>
      <c r="I94" s="144"/>
      <c r="J94" s="146"/>
      <c r="K94" s="144"/>
      <c r="L94" s="146"/>
      <c r="M94" s="144"/>
      <c r="N94" s="144"/>
      <c r="O94" s="146"/>
      <c r="P94" s="146"/>
      <c r="Q94" s="144"/>
      <c r="R94" s="146"/>
    </row>
    <row r="95" spans="1:18" s="112" customFormat="1" ht="18.75" customHeight="1">
      <c r="A95" s="100"/>
      <c r="B95" s="86" t="s">
        <v>134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.75" customHeight="1">
      <c r="A96" s="88" t="s">
        <v>197</v>
      </c>
      <c r="B96" s="87" t="s">
        <v>135</v>
      </c>
      <c r="C96" s="88" t="s">
        <v>128</v>
      </c>
      <c r="D96" s="117">
        <f>F96+E96</f>
        <v>19382000</v>
      </c>
      <c r="E96" s="98"/>
      <c r="F96" s="117">
        <v>19382000</v>
      </c>
      <c r="G96" s="92">
        <f>J96+I96</f>
        <v>0</v>
      </c>
      <c r="H96" s="99">
        <f>G96*100/D96</f>
        <v>0</v>
      </c>
      <c r="I96" s="91"/>
      <c r="J96" s="92"/>
      <c r="K96" s="92">
        <f>N96+M96</f>
        <v>892554.6</v>
      </c>
      <c r="L96" s="116">
        <f>K96*100/D96</f>
        <v>4.605069652254669</v>
      </c>
      <c r="M96" s="91"/>
      <c r="N96" s="92">
        <f>99000+68520+166602+240000+246510+71922.6</f>
        <v>892554.6</v>
      </c>
      <c r="O96" s="92">
        <f>D96-G96-K96</f>
        <v>18489445.4</v>
      </c>
      <c r="P96" s="92">
        <f>O96*100/D96</f>
        <v>95.39493034774532</v>
      </c>
      <c r="Q96" s="91">
        <f>E96-I96-M96</f>
        <v>0</v>
      </c>
      <c r="R96" s="176">
        <f>F96-J96-N96</f>
        <v>18489445.4</v>
      </c>
    </row>
    <row r="97" spans="1:18" s="112" customFormat="1" ht="18.75" customHeight="1">
      <c r="A97" s="100"/>
      <c r="B97" s="87" t="s">
        <v>136</v>
      </c>
      <c r="C97" s="107"/>
      <c r="D97" s="108"/>
      <c r="E97" s="109"/>
      <c r="F97" s="108"/>
      <c r="G97" s="110"/>
      <c r="H97" s="99"/>
      <c r="I97" s="110"/>
      <c r="J97" s="111"/>
      <c r="K97" s="110"/>
      <c r="L97" s="111"/>
      <c r="M97" s="110"/>
      <c r="N97" s="110"/>
      <c r="O97" s="111"/>
      <c r="P97" s="111"/>
      <c r="Q97" s="110"/>
      <c r="R97" s="116"/>
    </row>
    <row r="98" spans="1:18" s="112" customFormat="1" ht="18.75" customHeight="1">
      <c r="A98" s="100"/>
      <c r="B98" s="101" t="s">
        <v>67</v>
      </c>
      <c r="C98" s="119"/>
      <c r="D98" s="159">
        <f>F98+E98</f>
        <v>97495000</v>
      </c>
      <c r="E98" s="160">
        <f>E64+E67+E70+E74+E78+E81+E84+E87+E91+E96</f>
        <v>1453900</v>
      </c>
      <c r="F98" s="159">
        <f>F64+F67+F70+F74+F78+F81+F84+F87+F91+F96</f>
        <v>96041100</v>
      </c>
      <c r="G98" s="161">
        <f>J98+I98</f>
        <v>421759</v>
      </c>
      <c r="H98" s="105">
        <f>G98*100/D98</f>
        <v>0.4325955177188574</v>
      </c>
      <c r="I98" s="161">
        <f>I64+I67+I70+I74+I78+I81+I84+I87+I91+I96</f>
        <v>0</v>
      </c>
      <c r="J98" s="105">
        <f>J64+J67+J70+J74+J78+J81+J84+J87+J91+J96</f>
        <v>421759</v>
      </c>
      <c r="K98" s="161">
        <f>N98+M98</f>
        <v>2141197.04</v>
      </c>
      <c r="L98" s="105">
        <f>K98*100/D98</f>
        <v>2.19621215446946</v>
      </c>
      <c r="M98" s="161">
        <f>M64+M67+M70+M74+M78+M81+M84+M87+M91+M96</f>
        <v>0</v>
      </c>
      <c r="N98" s="161">
        <f>N64+N67+N70+N74+N78+N81+N84+N87+N91+N96</f>
        <v>2141197.04</v>
      </c>
      <c r="O98" s="105">
        <f>D98-G98-K98</f>
        <v>94932043.96</v>
      </c>
      <c r="P98" s="105">
        <f>O98*100/D98</f>
        <v>97.37119232781168</v>
      </c>
      <c r="Q98" s="196">
        <f>E98-I98-M98</f>
        <v>1453900</v>
      </c>
      <c r="R98" s="114">
        <f>F98-J98-N98</f>
        <v>93478143.96</v>
      </c>
    </row>
    <row r="99" spans="1:18" ht="18.75" customHeight="1">
      <c r="A99" s="158">
        <v>3</v>
      </c>
      <c r="B99" s="177" t="s">
        <v>201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191"/>
    </row>
    <row r="100" spans="1:18" s="112" customFormat="1" ht="19.5" customHeight="1">
      <c r="A100" s="100"/>
      <c r="B100" s="86" t="s">
        <v>178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99"/>
      <c r="M100" s="110"/>
      <c r="N100" s="110"/>
      <c r="O100" s="111"/>
      <c r="P100" s="111"/>
      <c r="Q100" s="110"/>
      <c r="R100" s="116"/>
    </row>
    <row r="101" spans="1:18" s="112" customFormat="1" ht="19.5" customHeight="1">
      <c r="A101" s="88" t="s">
        <v>142</v>
      </c>
      <c r="B101" s="87" t="s">
        <v>179</v>
      </c>
      <c r="C101" s="88" t="s">
        <v>128</v>
      </c>
      <c r="D101" s="117">
        <f>F101+E101</f>
        <v>8800000</v>
      </c>
      <c r="E101" s="98"/>
      <c r="F101" s="117">
        <v>8800000</v>
      </c>
      <c r="G101" s="92">
        <f>J101+I101</f>
        <v>0</v>
      </c>
      <c r="H101" s="99">
        <f>G101*100/D101</f>
        <v>0</v>
      </c>
      <c r="I101" s="91"/>
      <c r="J101" s="92"/>
      <c r="K101" s="91">
        <f>N101+M101</f>
        <v>641217</v>
      </c>
      <c r="L101" s="116">
        <f>K101*100/D101</f>
        <v>7.286556818181818</v>
      </c>
      <c r="M101" s="91"/>
      <c r="N101" s="92">
        <f>81420+247230+65337+247230</f>
        <v>641217</v>
      </c>
      <c r="O101" s="92">
        <f>D101-G101-K101</f>
        <v>8158783</v>
      </c>
      <c r="P101" s="92">
        <f>O101*100/D101</f>
        <v>92.71344318181818</v>
      </c>
      <c r="Q101" s="91">
        <f>E101-I101-M101</f>
        <v>0</v>
      </c>
      <c r="R101" s="176">
        <f>F101-J101-N101</f>
        <v>8158783</v>
      </c>
    </row>
    <row r="102" spans="1:18" s="112" customFormat="1" ht="19.5" customHeight="1">
      <c r="A102" s="100"/>
      <c r="B102" s="87" t="s">
        <v>180</v>
      </c>
      <c r="C102" s="107"/>
      <c r="D102" s="147"/>
      <c r="E102" s="148"/>
      <c r="F102" s="147"/>
      <c r="G102" s="110"/>
      <c r="H102" s="99"/>
      <c r="I102" s="110"/>
      <c r="J102" s="111"/>
      <c r="K102" s="110"/>
      <c r="L102" s="111"/>
      <c r="M102" s="110"/>
      <c r="N102" s="110"/>
      <c r="O102" s="111"/>
      <c r="P102" s="111"/>
      <c r="Q102" s="110"/>
      <c r="R102" s="116"/>
    </row>
    <row r="103" spans="1:18" ht="19.5" customHeight="1">
      <c r="A103" s="187"/>
      <c r="B103" s="188" t="s">
        <v>181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9"/>
    </row>
    <row r="104" spans="1:18" s="112" customFormat="1" ht="19.5" customHeight="1">
      <c r="A104" s="100"/>
      <c r="B104" s="101" t="s">
        <v>182</v>
      </c>
      <c r="C104" s="119"/>
      <c r="D104" s="159">
        <f>F104+E104</f>
        <v>8800000</v>
      </c>
      <c r="E104" s="160">
        <f>E101</f>
        <v>0</v>
      </c>
      <c r="F104" s="159">
        <f>F101</f>
        <v>8800000</v>
      </c>
      <c r="G104" s="161">
        <f>J104+I104</f>
        <v>0</v>
      </c>
      <c r="H104" s="105">
        <f>G104*100/D104</f>
        <v>0</v>
      </c>
      <c r="I104" s="161">
        <f>I101</f>
        <v>0</v>
      </c>
      <c r="J104" s="105">
        <f>J101</f>
        <v>0</v>
      </c>
      <c r="K104" s="161">
        <f>N104+M104</f>
        <v>641217</v>
      </c>
      <c r="L104" s="105">
        <f>K104*100/D104</f>
        <v>7.286556818181818</v>
      </c>
      <c r="M104" s="161">
        <f>M101</f>
        <v>0</v>
      </c>
      <c r="N104" s="161">
        <f>N101</f>
        <v>641217</v>
      </c>
      <c r="O104" s="105">
        <f>D104-G104-K104</f>
        <v>8158783</v>
      </c>
      <c r="P104" s="105">
        <f>O104*100/D104</f>
        <v>92.71344318181818</v>
      </c>
      <c r="Q104" s="149">
        <f>E104-I104-M104</f>
        <v>0</v>
      </c>
      <c r="R104" s="114">
        <f>F104-J104-N104</f>
        <v>8158783</v>
      </c>
    </row>
    <row r="105" spans="1:18" s="112" customFormat="1" ht="15.75" customHeight="1">
      <c r="A105" s="150"/>
      <c r="B105" s="131" t="s">
        <v>166</v>
      </c>
      <c r="C105" s="151"/>
      <c r="D105" s="152"/>
      <c r="E105" s="153"/>
      <c r="F105" s="152"/>
      <c r="G105" s="154"/>
      <c r="H105" s="155"/>
      <c r="I105" s="154"/>
      <c r="J105" s="156"/>
      <c r="K105" s="154"/>
      <c r="L105" s="156"/>
      <c r="M105" s="154"/>
      <c r="N105" s="154"/>
      <c r="O105" s="156"/>
      <c r="P105" s="156"/>
      <c r="Q105" s="154"/>
      <c r="R105" s="156"/>
    </row>
    <row r="106" spans="1:18" s="112" customFormat="1" ht="18" customHeight="1">
      <c r="A106" s="100"/>
      <c r="B106" s="86" t="s">
        <v>93</v>
      </c>
      <c r="C106" s="107"/>
      <c r="D106" s="108"/>
      <c r="E106" s="109"/>
      <c r="F106" s="108"/>
      <c r="G106" s="110"/>
      <c r="H106" s="99"/>
      <c r="I106" s="110"/>
      <c r="J106" s="111"/>
      <c r="K106" s="110"/>
      <c r="L106" s="111"/>
      <c r="M106" s="110"/>
      <c r="N106" s="110"/>
      <c r="O106" s="111"/>
      <c r="P106" s="111"/>
      <c r="Q106" s="110"/>
      <c r="R106" s="111"/>
    </row>
    <row r="107" spans="1:18" s="112" customFormat="1" ht="18" customHeight="1">
      <c r="A107" s="100">
        <v>1.2</v>
      </c>
      <c r="B107" s="87" t="s">
        <v>83</v>
      </c>
      <c r="C107" s="88" t="s">
        <v>203</v>
      </c>
      <c r="D107" s="117">
        <f>F107+E107</f>
        <v>190000</v>
      </c>
      <c r="E107" s="98"/>
      <c r="F107" s="117">
        <v>190000</v>
      </c>
      <c r="G107" s="92">
        <f>J107+I107</f>
        <v>0</v>
      </c>
      <c r="H107" s="99">
        <f>G107*100/D107</f>
        <v>0</v>
      </c>
      <c r="I107" s="92"/>
      <c r="J107" s="92"/>
      <c r="K107" s="92">
        <f>N107+M107</f>
        <v>17310</v>
      </c>
      <c r="L107" s="99">
        <f>K107*100/D107</f>
        <v>9.110526315789473</v>
      </c>
      <c r="M107" s="92"/>
      <c r="N107" s="92">
        <f>17310</f>
        <v>17310</v>
      </c>
      <c r="O107" s="92">
        <f>D107-G107-K107</f>
        <v>172690</v>
      </c>
      <c r="P107" s="92">
        <f>O107*100/D107</f>
        <v>90.88947368421053</v>
      </c>
      <c r="Q107" s="91">
        <f>E107-I107-M107</f>
        <v>0</v>
      </c>
      <c r="R107" s="92">
        <f>F107-J107-N107</f>
        <v>172690</v>
      </c>
    </row>
    <row r="108" spans="1:18" s="112" customFormat="1" ht="18" customHeight="1">
      <c r="A108" s="100"/>
      <c r="B108" s="87" t="s">
        <v>88</v>
      </c>
      <c r="C108" s="107"/>
      <c r="D108" s="147"/>
      <c r="E108" s="148"/>
      <c r="F108" s="147"/>
      <c r="G108" s="197"/>
      <c r="H108" s="99"/>
      <c r="I108" s="197"/>
      <c r="J108" s="99"/>
      <c r="K108" s="197"/>
      <c r="L108" s="99"/>
      <c r="M108" s="197"/>
      <c r="N108" s="197"/>
      <c r="O108" s="99"/>
      <c r="P108" s="111"/>
      <c r="Q108" s="110"/>
      <c r="R108" s="111"/>
    </row>
    <row r="109" spans="1:18" s="112" customFormat="1" ht="16.5" customHeight="1">
      <c r="A109" s="100">
        <v>1.3</v>
      </c>
      <c r="B109" s="86" t="s">
        <v>94</v>
      </c>
      <c r="C109" s="107"/>
      <c r="D109" s="147"/>
      <c r="E109" s="148"/>
      <c r="F109" s="147"/>
      <c r="G109" s="197"/>
      <c r="H109" s="99"/>
      <c r="I109" s="197"/>
      <c r="J109" s="99"/>
      <c r="K109" s="197"/>
      <c r="L109" s="99"/>
      <c r="M109" s="197"/>
      <c r="N109" s="197"/>
      <c r="O109" s="99"/>
      <c r="P109" s="111"/>
      <c r="Q109" s="110"/>
      <c r="R109" s="111"/>
    </row>
    <row r="110" spans="1:18" s="112" customFormat="1" ht="18" customHeight="1">
      <c r="A110" s="100"/>
      <c r="B110" s="87" t="s">
        <v>84</v>
      </c>
      <c r="C110" s="88" t="s">
        <v>203</v>
      </c>
      <c r="D110" s="117">
        <f>F110+E110</f>
        <v>400000</v>
      </c>
      <c r="E110" s="98"/>
      <c r="F110" s="117">
        <v>400000</v>
      </c>
      <c r="G110" s="92">
        <f>J110+I110</f>
        <v>0</v>
      </c>
      <c r="H110" s="99">
        <f>G110*100/D110</f>
        <v>0</v>
      </c>
      <c r="I110" s="92"/>
      <c r="J110" s="92"/>
      <c r="K110" s="92">
        <f>N110+M110</f>
        <v>34620</v>
      </c>
      <c r="L110" s="99">
        <f>K110*100/D110</f>
        <v>8.655</v>
      </c>
      <c r="M110" s="92"/>
      <c r="N110" s="92">
        <f>34620</f>
        <v>34620</v>
      </c>
      <c r="O110" s="92">
        <f>D110-G110-K110</f>
        <v>365380</v>
      </c>
      <c r="P110" s="92">
        <f>O110*100/D110</f>
        <v>91.345</v>
      </c>
      <c r="Q110" s="91">
        <f>E110-I110-M110</f>
        <v>0</v>
      </c>
      <c r="R110" s="92">
        <f>F110-J110-N110</f>
        <v>365380</v>
      </c>
    </row>
    <row r="111" spans="1:18" s="112" customFormat="1" ht="18" customHeight="1">
      <c r="A111" s="100"/>
      <c r="B111" s="87" t="s">
        <v>85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8" customHeight="1">
      <c r="A112" s="100">
        <v>1.4</v>
      </c>
      <c r="B112" s="86" t="s">
        <v>96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81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0</v>
      </c>
      <c r="H113" s="99">
        <f>G113*100/D113</f>
        <v>0</v>
      </c>
      <c r="I113" s="92"/>
      <c r="J113" s="92"/>
      <c r="K113" s="92">
        <f>N113+M113</f>
        <v>0</v>
      </c>
      <c r="L113" s="99">
        <f>K113*100/D113</f>
        <v>0</v>
      </c>
      <c r="M113" s="92"/>
      <c r="N113" s="92"/>
      <c r="O113" s="92">
        <f>D113-G113-K113</f>
        <v>400000</v>
      </c>
      <c r="P113" s="92">
        <f>O113*100/D113</f>
        <v>100</v>
      </c>
      <c r="Q113" s="91">
        <f>E113-I113-M113</f>
        <v>0</v>
      </c>
      <c r="R113" s="92">
        <f>F113-J113-N113</f>
        <v>400000</v>
      </c>
    </row>
    <row r="114" spans="1:18" s="112" customFormat="1" ht="18" customHeight="1">
      <c r="A114" s="100"/>
      <c r="B114" s="87" t="s">
        <v>95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9" s="112" customFormat="1" ht="18" customHeight="1">
      <c r="A115" s="100">
        <v>1.5</v>
      </c>
      <c r="B115" s="86" t="s">
        <v>97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  <c r="S115" s="112">
        <v>4</v>
      </c>
    </row>
    <row r="116" spans="1:18" s="112" customFormat="1" ht="18" customHeight="1">
      <c r="A116" s="100"/>
      <c r="B116" s="87" t="s">
        <v>82</v>
      </c>
      <c r="C116" s="88" t="s">
        <v>203</v>
      </c>
      <c r="D116" s="117">
        <f>F116+E116</f>
        <v>140000</v>
      </c>
      <c r="E116" s="98"/>
      <c r="F116" s="117">
        <v>140000</v>
      </c>
      <c r="G116" s="92">
        <f>J116+I116</f>
        <v>0</v>
      </c>
      <c r="H116" s="99">
        <f>G116*100/D116</f>
        <v>0</v>
      </c>
      <c r="I116" s="92"/>
      <c r="J116" s="92"/>
      <c r="K116" s="92">
        <f>N116+M116</f>
        <v>15650</v>
      </c>
      <c r="L116" s="99">
        <f>K116*100/D116</f>
        <v>11.178571428571429</v>
      </c>
      <c r="M116" s="92"/>
      <c r="N116" s="92">
        <f>11540+4110</f>
        <v>15650</v>
      </c>
      <c r="O116" s="92">
        <f>D116-G116-K116</f>
        <v>124350</v>
      </c>
      <c r="P116" s="92">
        <f>O116*100/D116</f>
        <v>88.82142857142857</v>
      </c>
      <c r="Q116" s="91">
        <f>E116-I116-M116</f>
        <v>0</v>
      </c>
      <c r="R116" s="92">
        <f>F116-J116-N116</f>
        <v>124350</v>
      </c>
    </row>
    <row r="117" spans="1:18" s="112" customFormat="1" ht="18" customHeight="1">
      <c r="A117" s="100"/>
      <c r="B117" s="87" t="s">
        <v>88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8" s="112" customFormat="1" ht="18.75" customHeight="1">
      <c r="A118" s="163"/>
      <c r="B118" s="192" t="s">
        <v>79</v>
      </c>
      <c r="C118" s="193"/>
      <c r="D118" s="198">
        <f>F118+E118</f>
        <v>1130000</v>
      </c>
      <c r="E118" s="199">
        <f>E107+E110+E113+E116</f>
        <v>0</v>
      </c>
      <c r="F118" s="198">
        <f>F107+F110+F113+F116</f>
        <v>1130000</v>
      </c>
      <c r="G118" s="200">
        <f>J118+I118</f>
        <v>0</v>
      </c>
      <c r="H118" s="195">
        <f>G118*100/D118</f>
        <v>0</v>
      </c>
      <c r="I118" s="200">
        <f>I107+I110+I113+I116</f>
        <v>0</v>
      </c>
      <c r="J118" s="195">
        <f>J107+J110+J113+J116</f>
        <v>0</v>
      </c>
      <c r="K118" s="200">
        <f>N118+M118</f>
        <v>67580</v>
      </c>
      <c r="L118" s="195">
        <f>K118*100/D118</f>
        <v>5.9805309734513274</v>
      </c>
      <c r="M118" s="200">
        <f>M107+M110+M113+M116</f>
        <v>0</v>
      </c>
      <c r="N118" s="200">
        <f>N107+N110+N113+N116</f>
        <v>67580</v>
      </c>
      <c r="O118" s="195">
        <f>D118-G118-K118</f>
        <v>1062420</v>
      </c>
      <c r="P118" s="195">
        <f>O118*100/D118</f>
        <v>94.01946902654868</v>
      </c>
      <c r="Q118" s="194"/>
      <c r="R118" s="195">
        <f>F118-J118-N118</f>
        <v>1062420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5" t="s">
        <v>124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5.75" customHeight="1">
      <c r="A2" s="206" t="s">
        <v>0</v>
      </c>
      <c r="B2" s="206" t="s">
        <v>1</v>
      </c>
      <c r="C2" s="209" t="s">
        <v>2</v>
      </c>
      <c r="D2" s="208" t="s">
        <v>3</v>
      </c>
      <c r="E2" s="208"/>
      <c r="F2" s="208"/>
      <c r="G2" s="208" t="s">
        <v>7</v>
      </c>
      <c r="H2" s="208"/>
      <c r="I2" s="208"/>
      <c r="J2" s="208"/>
      <c r="K2" s="208" t="s">
        <v>9</v>
      </c>
      <c r="L2" s="208"/>
      <c r="M2" s="208"/>
      <c r="N2" s="208"/>
      <c r="O2" s="208" t="s">
        <v>10</v>
      </c>
      <c r="P2" s="208"/>
      <c r="Q2" s="208"/>
      <c r="R2" s="208"/>
    </row>
    <row r="3" spans="1:18" ht="14.25" customHeight="1">
      <c r="A3" s="206"/>
      <c r="B3" s="206"/>
      <c r="C3" s="209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2017-12-06T04:13:44Z</cp:lastPrinted>
  <dcterms:created xsi:type="dcterms:W3CDTF">2009-12-25T03:29:35Z</dcterms:created>
  <dcterms:modified xsi:type="dcterms:W3CDTF">2017-12-06T04:13:59Z</dcterms:modified>
  <cp:category/>
  <cp:version/>
  <cp:contentType/>
  <cp:contentStatus/>
</cp:coreProperties>
</file>