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<sst xmlns="http://schemas.openxmlformats.org/spreadsheetml/2006/main" count="415" uniqueCount="205">
  <si>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</si>
  <si>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</si>
  <si>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</si>
  <si>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</si>
  <si>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</si>
  <si>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</si>
  <si>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</si>
  <si>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</si>
  <si>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</si>
  <si>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</si>
  <si>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</si>
  <si>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</si>
  <si>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</si>
  <si>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</si>
  <si>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</si>
  <si>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</si>
  <si>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</si>
  <si>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</si>
  <si>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</si>
  <si>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</si>
  <si>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</si>
  <si>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</si>
  <si>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</si>
  <si>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</si>
  <si>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</si>
  <si>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</si>
  <si>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</si>
  <si>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</si>
  <si>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</si>
  <si>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</si>
  <si>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</si>
  <si>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</si>
  <si>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</si>
  <si>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</si>
  <si>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</si>
  <si>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</si>
  <si>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</si>
  <si>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</si>
  <si>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</si>
  <si>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</si>
  <si>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</si>
  <si>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</si>
  <si>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</si>
  <si>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</si>
  <si>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</si>
  <si>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</si>
  <si>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</si>
  <si>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</si>
  <si>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</si>
  <si>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</si>
  <si>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</si>
  <si>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</si>
  <si>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</si>
  <si>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</si>
  <si>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</si>
  <si>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</si>
  <si>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</si>
  <si>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</si>
  <si>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</si>
  <si>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</si>
  <si>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</si>
  <si>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</si>
  <si>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</si>
  <si>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</si>
  <si>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</si>
  <si>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</si>
  <si>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</si>
  <si>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</si>
  <si>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</si>
  <si>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</si>
  <si>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</si>
  <si>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</si>
  <si>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</si>
  <si>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</si>
  <si>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</si>
  <si>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</si>
  <si>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</si>
  <si>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</si>
  <si>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</si>
  <si>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</si>
  <si>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</si>
  <si>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</si>
  <si>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</si>
  <si>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</si>
  <si>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</si>
  <si>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</si>
  <si>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</si>
  <si>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</si>
  <si>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</si>
  <si>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</si>
  <si>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</si>
  <si>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</si>
  <si>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</si>
  <si>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</si>
  <si>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</si>
  <si>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</si>
  <si>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</si>
  <si>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</si>
  <si>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</si>
  <si>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</si>
  <si>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</si>
  <si>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</si>
  <si>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</si>
  <si>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</si>
  <si>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</si>
  <si>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</si>
  <si>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</si>
  <si>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</si>
  <si>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</si>
  <si>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</si>
  <si>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</si>
  <si>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</si>
  <si>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</si>
  <si>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</si>
  <si>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</si>
  <si>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</si>
  <si>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</si>
  <si>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</si>
  <si>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</si>
  <si>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</si>
  <si>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</si>
  <si>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</si>
  <si>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</si>
  <si>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</si>
  <si>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</si>
  <si>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</si>
  <si>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</si>
  <si>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</si>
  <si>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</si>
  <si>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</si>
  <si>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</si>
  <si>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</si>
  <si>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</si>
  <si>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</si>
  <si>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</si>
  <si>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</si>
  <si>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</si>
  <si>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</si>
  <si>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</si>
  <si>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</si>
  <si>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</si>
  <si>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</si>
  <si>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</si>
  <si>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</si>
  <si>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</si>
  <si>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</si>
  <si>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</si>
  <si>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</si>
  <si>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</si>
  <si>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</si>
  <si>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</si>
  <si>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</si>
  <si>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</si>
  <si>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</si>
  <si>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</si>
  <si>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</si>
  <si>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</si>
  <si>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</si>
  <si>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</si>
  <si>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</si>
  <si>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</si>
  <si>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</si>
  <si>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</si>
  <si>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</si>
  <si>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</si>
  <si>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</si>
  <si>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</si>
  <si>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</si>
  <si>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</si>
  <si>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</si>
  <si>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</si>
  <si>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</si>
  <si>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</si>
  <si>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</si>
  <si>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</si>
  <si>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</si>
  <si>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</si>
  <si>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</si>
  <si>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</si>
  <si>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</si>
  <si>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</si>
  <si>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</si>
  <si>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</si>
  <si>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</si>
  <si>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</si>
  <si>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</si>
  <si>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</si>
  <si>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</si>
  <si>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</si>
  <si>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</si>
  <si>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</si>
  <si>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</si>
  <si>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</si>
  <si>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</si>
  <si>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</si>
  <si>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</si>
  <si>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</si>
  <si>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</si>
  <si>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</si>
  <si>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</si>
  <si>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</si>
  <si>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</si>
  <si>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</si>
  <si>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</si>
  <si>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 30   พ.ย. 2560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</si>
</sst>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194" fontId="25" fillId="33" borderId="13" xfId="0" applyNumberFormat="1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1" t="s">
        <v>76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5.75" customHeight="1">
      <c r="A2" s="202" t="s">
        <v>0</v>
      </c>
      <c r="B2" s="202" t="s">
        <v>1</v>
      </c>
      <c r="C2" s="203" t="s">
        <v>2</v>
      </c>
      <c r="D2" s="204" t="s">
        <v>3</v>
      </c>
      <c r="E2" s="204"/>
      <c r="F2" s="204"/>
      <c r="G2" s="204" t="s">
        <v>7</v>
      </c>
      <c r="H2" s="204"/>
      <c r="I2" s="204"/>
      <c r="J2" s="204"/>
      <c r="K2" s="204" t="s">
        <v>9</v>
      </c>
      <c r="L2" s="204"/>
      <c r="M2" s="204"/>
      <c r="N2" s="204"/>
      <c r="O2" s="204" t="s">
        <v>10</v>
      </c>
      <c r="P2" s="204"/>
      <c r="Q2" s="204"/>
      <c r="R2" s="204"/>
    </row>
    <row r="3" spans="1:18" ht="14.25" customHeight="1">
      <c r="A3" s="202"/>
      <c r="B3" s="202"/>
      <c r="C3" s="203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1" t="s">
        <v>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5.75" customHeight="1">
      <c r="A2" s="202" t="s">
        <v>0</v>
      </c>
      <c r="B2" s="202" t="s">
        <v>1</v>
      </c>
      <c r="C2" s="203" t="s">
        <v>2</v>
      </c>
      <c r="D2" s="204" t="s">
        <v>3</v>
      </c>
      <c r="E2" s="204"/>
      <c r="F2" s="204"/>
      <c r="G2" s="204" t="s">
        <v>7</v>
      </c>
      <c r="H2" s="204"/>
      <c r="I2" s="204"/>
      <c r="J2" s="204"/>
      <c r="K2" s="204" t="s">
        <v>9</v>
      </c>
      <c r="L2" s="204"/>
      <c r="M2" s="204"/>
      <c r="N2" s="204"/>
      <c r="O2" s="204" t="s">
        <v>10</v>
      </c>
      <c r="P2" s="204"/>
      <c r="Q2" s="204"/>
      <c r="R2" s="204"/>
    </row>
    <row r="3" spans="1:18" ht="14.25" customHeight="1">
      <c r="A3" s="202"/>
      <c r="B3" s="202"/>
      <c r="C3" s="203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O56" sqref="O56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5" t="s">
        <v>204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5.75" customHeight="1">
      <c r="A2" s="206" t="s">
        <v>0</v>
      </c>
      <c r="B2" s="206" t="s">
        <v>1</v>
      </c>
      <c r="C2" s="207" t="s">
        <v>2</v>
      </c>
      <c r="D2" s="208" t="s">
        <v>3</v>
      </c>
      <c r="E2" s="208"/>
      <c r="F2" s="208"/>
      <c r="G2" s="208" t="s">
        <v>7</v>
      </c>
      <c r="H2" s="208"/>
      <c r="I2" s="208"/>
      <c r="J2" s="208"/>
      <c r="K2" s="208" t="s">
        <v>9</v>
      </c>
      <c r="L2" s="208"/>
      <c r="M2" s="208"/>
      <c r="N2" s="208"/>
      <c r="O2" s="208" t="s">
        <v>10</v>
      </c>
      <c r="P2" s="208"/>
      <c r="Q2" s="208"/>
      <c r="R2" s="208"/>
    </row>
    <row r="3" spans="1:18" ht="14.25" customHeight="1">
      <c r="A3" s="206"/>
      <c r="B3" s="206"/>
      <c r="C3" s="207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134291100</v>
      </c>
      <c r="E4" s="113">
        <f>SUM(E61+E98+E104+E118)</f>
        <v>2896900</v>
      </c>
      <c r="F4" s="113">
        <f>SUM(F61+F98+F104+F118)</f>
        <v>131394200</v>
      </c>
      <c r="G4" s="115">
        <f>I4+J4</f>
        <v>1532778.17</v>
      </c>
      <c r="H4" s="115">
        <f>G4*100/D4</f>
        <v>1.1413847753127349</v>
      </c>
      <c r="I4" s="113">
        <f>SUM(I61+I98+I104+I118)</f>
        <v>0</v>
      </c>
      <c r="J4" s="113">
        <f>SUM(J61+J98+J104+J118)</f>
        <v>1532778.17</v>
      </c>
      <c r="K4" s="115">
        <f>M4+N4</f>
        <v>4613911.01</v>
      </c>
      <c r="L4" s="115">
        <f>K4*100/D4</f>
        <v>3.4357533820186146</v>
      </c>
      <c r="M4" s="113">
        <f>SUM(M61+M98+M104+M118)</f>
        <v>0</v>
      </c>
      <c r="N4" s="113">
        <f>SUM(N61+N98+N104+N118)</f>
        <v>4613911.01</v>
      </c>
      <c r="O4" s="113">
        <f>Q4+R4</f>
        <v>128144410.82</v>
      </c>
      <c r="P4" s="113">
        <f>O4*100/D4</f>
        <v>95.42286184266865</v>
      </c>
      <c r="Q4" s="113">
        <f>SUM(Q61+Q98+Q104+Q118)</f>
        <v>2896900</v>
      </c>
      <c r="R4" s="113">
        <f>SUM(R61+R98+R104+R118)</f>
        <v>125247510.82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0</v>
      </c>
      <c r="H10" s="99">
        <f>G10*100/D10</f>
        <v>0</v>
      </c>
      <c r="I10" s="91"/>
      <c r="J10" s="92"/>
      <c r="K10" s="91">
        <f>N10+M10</f>
        <v>0</v>
      </c>
      <c r="L10" s="116">
        <f>K10*100/D10</f>
        <v>0</v>
      </c>
      <c r="M10" s="91"/>
      <c r="N10" s="91"/>
      <c r="O10" s="91">
        <f>D10-G10-K10</f>
        <v>4966100</v>
      </c>
      <c r="P10" s="92">
        <f>O10*100/D10</f>
        <v>100</v>
      </c>
      <c r="Q10" s="91">
        <f>E10-I10-M10</f>
        <v>0</v>
      </c>
      <c r="R10" s="92">
        <f>F10-J10-N10</f>
        <v>4966100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89">
        <f>F15+E15</f>
        <v>1000000</v>
      </c>
      <c r="E15" s="90">
        <v>400000</v>
      </c>
      <c r="F15" s="89">
        <v>600000</v>
      </c>
      <c r="G15" s="92">
        <f>J15+I15</f>
        <v>0</v>
      </c>
      <c r="H15" s="99">
        <f>G15*100/D15</f>
        <v>0</v>
      </c>
      <c r="I15" s="91"/>
      <c r="J15" s="92"/>
      <c r="K15" s="91">
        <f>N15+M15</f>
        <v>0</v>
      </c>
      <c r="L15" s="116">
        <f>K15*100/D15</f>
        <v>0</v>
      </c>
      <c r="M15" s="91"/>
      <c r="N15" s="91"/>
      <c r="O15" s="91">
        <f>D15-G15-K15</f>
        <v>1000000</v>
      </c>
      <c r="P15" s="92">
        <f>O15*100/D15</f>
        <v>100</v>
      </c>
      <c r="Q15" s="92">
        <f>E15-I15-M15</f>
        <v>400000</v>
      </c>
      <c r="R15" s="91">
        <f>F15-J15-N15</f>
        <v>600000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0</v>
      </c>
      <c r="H18" s="99">
        <f>G18*100/D18</f>
        <v>0</v>
      </c>
      <c r="I18" s="91"/>
      <c r="J18" s="92"/>
      <c r="K18" s="91">
        <f>N18+M18</f>
        <v>349557.4</v>
      </c>
      <c r="L18" s="116">
        <f>K18*100/D18</f>
        <v>34.95574</v>
      </c>
      <c r="M18" s="91"/>
      <c r="N18" s="91">
        <f>21632.4+27898+68442+98865+132720</f>
        <v>349557.4</v>
      </c>
      <c r="O18" s="92">
        <f>D18-G18-K18</f>
        <v>650442.6</v>
      </c>
      <c r="P18" s="92">
        <f>O18*100/D18</f>
        <v>65.04426</v>
      </c>
      <c r="Q18" s="92">
        <f>E18-I18-M18</f>
        <v>0</v>
      </c>
      <c r="R18" s="92">
        <f>F18-J18-N18</f>
        <v>650442.6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39379</v>
      </c>
      <c r="H22" s="99">
        <f>G22*100/D22</f>
        <v>7.8758</v>
      </c>
      <c r="I22" s="91"/>
      <c r="J22" s="92">
        <f>3479+35900</f>
        <v>39379</v>
      </c>
      <c r="K22" s="91">
        <f>N22+M22</f>
        <v>29000</v>
      </c>
      <c r="L22" s="116">
        <f>K22*100/D22</f>
        <v>5.8</v>
      </c>
      <c r="M22" s="91"/>
      <c r="N22" s="91">
        <f>29000</f>
        <v>29000</v>
      </c>
      <c r="O22" s="92">
        <f>D22-G22-K22</f>
        <v>431621</v>
      </c>
      <c r="P22" s="92">
        <f>O22*100/D22</f>
        <v>86.3242</v>
      </c>
      <c r="Q22" s="92">
        <f>E22-I22-M22</f>
        <v>0</v>
      </c>
      <c r="R22" s="92">
        <f>F22-J22-N22</f>
        <v>431621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169782</v>
      </c>
      <c r="H26" s="99">
        <f>G26*100/D26</f>
        <v>9.987176470588235</v>
      </c>
      <c r="I26" s="91"/>
      <c r="J26" s="92">
        <f>6958+98462+53980+10382</f>
        <v>169782</v>
      </c>
      <c r="K26" s="91">
        <f>N26+M26</f>
        <v>568878.85</v>
      </c>
      <c r="L26" s="116">
        <f>K26*100/D26</f>
        <v>33.46346176470588</v>
      </c>
      <c r="M26" s="91"/>
      <c r="N26" s="91">
        <f>22380+7060+429250+10561.44+9162.41+90465</f>
        <v>568878.85</v>
      </c>
      <c r="O26" s="92">
        <f>D26-G26-K26</f>
        <v>961339.15</v>
      </c>
      <c r="P26" s="92">
        <f>O26*100/D26</f>
        <v>56.549361764705885</v>
      </c>
      <c r="Q26" s="92">
        <f>E26-I26-M26</f>
        <v>0</v>
      </c>
      <c r="R26" s="92">
        <f>F26-J26-N26</f>
        <v>961339.15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7509</v>
      </c>
      <c r="H30" s="99">
        <f>G30*100/D30</f>
        <v>0.5006</v>
      </c>
      <c r="I30" s="91"/>
      <c r="J30" s="92">
        <f>2054+5455</f>
        <v>7509</v>
      </c>
      <c r="K30" s="91">
        <f>N30+M30</f>
        <v>169114.36</v>
      </c>
      <c r="L30" s="116">
        <f>K30*100/D30</f>
        <v>11.274290666666667</v>
      </c>
      <c r="M30" s="91"/>
      <c r="N30" s="91">
        <f>97721+16613.36+54780</f>
        <v>169114.36</v>
      </c>
      <c r="O30" s="92">
        <f>D30-G30-K30</f>
        <v>1323376.6400000001</v>
      </c>
      <c r="P30" s="92">
        <f>O30*100/D30</f>
        <v>88.22510933333335</v>
      </c>
      <c r="Q30" s="92">
        <f>E30-I30-M30</f>
        <v>0</v>
      </c>
      <c r="R30" s="92">
        <f>F30-J30-N30</f>
        <v>1323376.6400000001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0</v>
      </c>
      <c r="H34" s="99">
        <f>G34*100/D34</f>
        <v>0</v>
      </c>
      <c r="I34" s="91"/>
      <c r="J34" s="92"/>
      <c r="K34" s="91">
        <f>N34+M34</f>
        <v>49302</v>
      </c>
      <c r="L34" s="116">
        <f>K34*100/D34</f>
        <v>4.9302</v>
      </c>
      <c r="M34" s="91"/>
      <c r="N34" s="91">
        <f>49302</f>
        <v>49302</v>
      </c>
      <c r="O34" s="92">
        <f>D34-G34-K34</f>
        <v>950698</v>
      </c>
      <c r="P34" s="92">
        <f>O34*100/D34</f>
        <v>95.0698</v>
      </c>
      <c r="Q34" s="92">
        <f>E34-I34-M34</f>
        <v>104000</v>
      </c>
      <c r="R34" s="92">
        <f>F34-J34-N34</f>
        <v>846698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0</v>
      </c>
      <c r="H38" s="99">
        <f>G38*100/D38</f>
        <v>0</v>
      </c>
      <c r="I38" s="91"/>
      <c r="J38" s="92"/>
      <c r="K38" s="91">
        <f>N38+M38</f>
        <v>49302</v>
      </c>
      <c r="L38" s="116">
        <f>K38*100/D38</f>
        <v>3.2868</v>
      </c>
      <c r="M38" s="91"/>
      <c r="N38" s="91">
        <f>49302</f>
        <v>49302</v>
      </c>
      <c r="O38" s="92">
        <f>D38-G38-K38</f>
        <v>1450698</v>
      </c>
      <c r="P38" s="92">
        <f>O38*100/D38</f>
        <v>96.7132</v>
      </c>
      <c r="Q38" s="92">
        <f>E38-I38-M38</f>
        <v>493000</v>
      </c>
      <c r="R38" s="92">
        <f>F38-J38-N38</f>
        <v>957698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0</v>
      </c>
      <c r="H42" s="99">
        <f>G42*100/D42</f>
        <v>0</v>
      </c>
      <c r="I42" s="91"/>
      <c r="J42" s="92"/>
      <c r="K42" s="91">
        <f>N42+M42</f>
        <v>10956</v>
      </c>
      <c r="L42" s="116">
        <f>K42*100/D42</f>
        <v>0.7304</v>
      </c>
      <c r="M42" s="91"/>
      <c r="N42" s="91">
        <f>10956</f>
        <v>10956</v>
      </c>
      <c r="O42" s="92">
        <f>D42-G42-K42</f>
        <v>1489044</v>
      </c>
      <c r="P42" s="92">
        <f>O42*100/D42</f>
        <v>99.2696</v>
      </c>
      <c r="Q42" s="92">
        <f>E42-I42-M42</f>
        <v>446000</v>
      </c>
      <c r="R42" s="92">
        <f>F42-J42-N42</f>
        <v>1043044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336159</v>
      </c>
      <c r="H46" s="99">
        <f>G46*100/D46</f>
        <v>8.403975</v>
      </c>
      <c r="I46" s="91"/>
      <c r="J46" s="92">
        <f>3479+332680</f>
        <v>336159</v>
      </c>
      <c r="K46" s="91">
        <f>N46+M46</f>
        <v>28434.84</v>
      </c>
      <c r="L46" s="116">
        <f>K46*100/D46</f>
        <v>0.710871</v>
      </c>
      <c r="M46" s="91"/>
      <c r="N46" s="91">
        <f>28434.84</f>
        <v>28434.84</v>
      </c>
      <c r="O46" s="92">
        <f>D46-G46-K46</f>
        <v>3635406.16</v>
      </c>
      <c r="P46" s="92">
        <f>O46*100/D46</f>
        <v>90.885154</v>
      </c>
      <c r="Q46" s="92">
        <f>E46-I46-M46</f>
        <v>0</v>
      </c>
      <c r="R46" s="92">
        <f>F46-J46-N46</f>
        <v>3635406.16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689576.8</v>
      </c>
      <c r="L50" s="116">
        <f>K50*100/D50</f>
        <v>22.985893333333333</v>
      </c>
      <c r="M50" s="91"/>
      <c r="N50" s="91">
        <f>40568.8+298258+350750</f>
        <v>689576.8</v>
      </c>
      <c r="O50" s="92">
        <f>D50-G50-K50</f>
        <v>2310423.2</v>
      </c>
      <c r="P50" s="92">
        <f>O50*100/D50</f>
        <v>77.01410666666668</v>
      </c>
      <c r="Q50" s="92">
        <f>E50-I50-M50</f>
        <v>0</v>
      </c>
      <c r="R50" s="92">
        <f>F50-J50-N50</f>
        <v>2310423.2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487620.17</v>
      </c>
      <c r="H54" s="99">
        <f>G54*100/D54</f>
        <v>19.5048068</v>
      </c>
      <c r="I54" s="91"/>
      <c r="J54" s="92">
        <f>3479+73034.17+288102+23540+99465</f>
        <v>487620.17</v>
      </c>
      <c r="K54" s="91">
        <f>N54+M54</f>
        <v>484947</v>
      </c>
      <c r="L54" s="116">
        <f>K54*100/D54</f>
        <v>19.39788</v>
      </c>
      <c r="M54" s="91"/>
      <c r="N54" s="91">
        <f>292458+192489</f>
        <v>484947</v>
      </c>
      <c r="O54" s="92">
        <f>D54-G54-K54</f>
        <v>1527432.83</v>
      </c>
      <c r="P54" s="92">
        <f>O54*100/D54</f>
        <v>61.0973132</v>
      </c>
      <c r="Q54" s="92">
        <f>E54-I54-M54</f>
        <v>0</v>
      </c>
      <c r="R54" s="92">
        <f>F54-J54-N54</f>
        <v>1527432.83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53980</v>
      </c>
      <c r="H58" s="99">
        <f>G58*100/D58</f>
        <v>2.3469565217391306</v>
      </c>
      <c r="I58" s="91"/>
      <c r="J58" s="92">
        <f>53980</f>
        <v>53980</v>
      </c>
      <c r="K58" s="91">
        <f>N58+M58</f>
        <v>178534.35</v>
      </c>
      <c r="L58" s="116">
        <f>K58*100/D58</f>
        <v>7.762363043478261</v>
      </c>
      <c r="M58" s="91"/>
      <c r="N58" s="91">
        <f>95817+82717.35</f>
        <v>178534.35</v>
      </c>
      <c r="O58" s="92">
        <f>D58-G58-K58</f>
        <v>2067485.65</v>
      </c>
      <c r="P58" s="92">
        <f>O58*100/D58</f>
        <v>89.89068043478261</v>
      </c>
      <c r="Q58" s="92">
        <f>E58-I58-M58</f>
        <v>0</v>
      </c>
      <c r="R58" s="92">
        <f>F58-J58-N58</f>
        <v>2067485.65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1443000</v>
      </c>
      <c r="F61" s="184">
        <f>F7+F10+F15+F18+F22+F26+F30+F34+F38+F42+F46+F50+F54+F58</f>
        <v>25423100</v>
      </c>
      <c r="G61" s="186">
        <f>J61+I61</f>
        <v>1111019.17</v>
      </c>
      <c r="H61" s="183">
        <f>G61*100/D61</f>
        <v>4.1353943073241</v>
      </c>
      <c r="I61" s="186">
        <f>I7+I10+I15+I18+I22+I26+I30+I34+I38+I42+I46+I50+I54+I58</f>
        <v>0</v>
      </c>
      <c r="J61" s="183">
        <f>J7+J10+J15+J18+J22+J26+J30+J34+J38+J42+J46+J50+J54+J58</f>
        <v>1111019.17</v>
      </c>
      <c r="K61" s="186">
        <f>N61+M61</f>
        <v>2607603.6</v>
      </c>
      <c r="L61" s="183">
        <f>K61*100/D61</f>
        <v>9.705925311079762</v>
      </c>
      <c r="M61" s="186">
        <f>M7+M10+M15+M18+M22+M26+M30+M34+M38+M42+M46+M50+M54+M58</f>
        <v>0</v>
      </c>
      <c r="N61" s="186">
        <f>N7+N10+N15+N18+N22+N26+N30+N34+N38+N42+N46+N50+N54+N58</f>
        <v>2607603.6</v>
      </c>
      <c r="O61" s="183">
        <f>D61-G61-K61</f>
        <v>23147477.229999997</v>
      </c>
      <c r="P61" s="183">
        <f>O61*100/D61</f>
        <v>86.15868038159611</v>
      </c>
      <c r="Q61" s="210">
        <f>E61-I61-M61</f>
        <v>1443000</v>
      </c>
      <c r="R61" s="182">
        <f>F61-J61-N61</f>
        <v>21704477.229999997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88600</v>
      </c>
      <c r="H64" s="99">
        <f>G64*100/D64</f>
        <v>4.643605870020965</v>
      </c>
      <c r="I64" s="91"/>
      <c r="J64" s="92">
        <f>34620+53980</f>
        <v>88600</v>
      </c>
      <c r="K64" s="91">
        <f>N64+M64</f>
        <v>219256.61</v>
      </c>
      <c r="L64" s="116">
        <f>K64*100/D64</f>
        <v>11.491436582809225</v>
      </c>
      <c r="M64" s="91"/>
      <c r="N64" s="91">
        <f>43230+15478+8989.07+28031.5+54780+68748.04</f>
        <v>219256.61</v>
      </c>
      <c r="O64" s="91">
        <f>D64-G64-K64</f>
        <v>1600143.3900000001</v>
      </c>
      <c r="P64" s="92">
        <f>O64*100/D64</f>
        <v>83.86495754716981</v>
      </c>
      <c r="Q64" s="91">
        <f>E64-I64-M64</f>
        <v>0</v>
      </c>
      <c r="R64" s="92">
        <f>F64-J64-N64</f>
        <v>1600143.3900000001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0</v>
      </c>
      <c r="H67" s="99">
        <f>G67*100/D67</f>
        <v>0</v>
      </c>
      <c r="I67" s="91"/>
      <c r="J67" s="92"/>
      <c r="K67" s="91">
        <f>N67+M67</f>
        <v>0</v>
      </c>
      <c r="L67" s="116">
        <f>K67*100/D67</f>
        <v>0</v>
      </c>
      <c r="M67" s="91"/>
      <c r="N67" s="91"/>
      <c r="O67" s="92">
        <f>D67-G67-K67</f>
        <v>14489000</v>
      </c>
      <c r="P67" s="92">
        <f>O67*100/D67</f>
        <v>100</v>
      </c>
      <c r="Q67" s="91">
        <f>E67-I67-M67</f>
        <v>0</v>
      </c>
      <c r="R67" s="176">
        <f>F67-J67-N67</f>
        <v>14489000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25192000</v>
      </c>
      <c r="E70" s="98"/>
      <c r="F70" s="117">
        <v>25192000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25192000</v>
      </c>
      <c r="P70" s="92">
        <f>O70*100/D70</f>
        <v>100</v>
      </c>
      <c r="Q70" s="91">
        <f>E70-I70-M70</f>
        <v>0</v>
      </c>
      <c r="R70" s="176">
        <f>F70-J70-N70</f>
        <v>25192000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3360000</v>
      </c>
      <c r="E74" s="98">
        <v>488900</v>
      </c>
      <c r="F74" s="117">
        <v>2871100</v>
      </c>
      <c r="G74" s="92">
        <f>J74+I74</f>
        <v>0</v>
      </c>
      <c r="H74" s="99">
        <f>G74*100/D74</f>
        <v>0</v>
      </c>
      <c r="I74" s="91"/>
      <c r="J74" s="92"/>
      <c r="K74" s="91">
        <f>N74+M74</f>
        <v>0</v>
      </c>
      <c r="L74" s="116">
        <f>K74*100/D74</f>
        <v>0</v>
      </c>
      <c r="M74" s="91"/>
      <c r="N74" s="91"/>
      <c r="O74" s="92">
        <f>D74-G74-K74</f>
        <v>3360000</v>
      </c>
      <c r="P74" s="92">
        <f>O74*100/D74</f>
        <v>100</v>
      </c>
      <c r="Q74" s="92">
        <f>E74-I74-M74</f>
        <v>488900</v>
      </c>
      <c r="R74" s="176">
        <f>F74-J74-N74</f>
        <v>2871100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252189</v>
      </c>
      <c r="H78" s="99">
        <f>G78*100/D78</f>
        <v>5.2539375</v>
      </c>
      <c r="I78" s="91"/>
      <c r="J78" s="92">
        <f>3479+16590+79170+53980+98970</f>
        <v>252189</v>
      </c>
      <c r="K78" s="92">
        <f>N78+M78</f>
        <v>179663</v>
      </c>
      <c r="L78" s="99">
        <f>K78*100/D78</f>
        <v>3.7429791666666667</v>
      </c>
      <c r="M78" s="92"/>
      <c r="N78" s="92">
        <f>179663</f>
        <v>179663</v>
      </c>
      <c r="O78" s="92">
        <f>D78-G78-K78</f>
        <v>4368148</v>
      </c>
      <c r="P78" s="92">
        <f>O78*100/D78</f>
        <v>91.00308333333334</v>
      </c>
      <c r="Q78" s="91">
        <f>E78-I78-M78</f>
        <v>0</v>
      </c>
      <c r="R78" s="176">
        <f>F78-J78-N78</f>
        <v>4368148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80970</v>
      </c>
      <c r="H81" s="99">
        <f>G81*100/D81</f>
        <v>1.4150646627053478</v>
      </c>
      <c r="I81" s="91"/>
      <c r="J81" s="92">
        <f>80970</f>
        <v>80970</v>
      </c>
      <c r="K81" s="91">
        <f>N81+M81</f>
        <v>82068.8</v>
      </c>
      <c r="L81" s="116">
        <f>K81*100/D81</f>
        <v>1.4342677385529534</v>
      </c>
      <c r="M81" s="91"/>
      <c r="N81" s="91">
        <f>61908.8+20160</f>
        <v>82068.8</v>
      </c>
      <c r="O81" s="92">
        <f>D81-G81-K81</f>
        <v>5558961.2</v>
      </c>
      <c r="P81" s="92">
        <f>O81*100/D81</f>
        <v>97.1506675987417</v>
      </c>
      <c r="Q81" s="91">
        <f>E81-I81-M81</f>
        <v>0</v>
      </c>
      <c r="R81" s="176">
        <f>F81-J81-N81</f>
        <v>5558961.2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9621000</v>
      </c>
      <c r="E84" s="98">
        <v>470000</v>
      </c>
      <c r="F84" s="117">
        <v>9151000</v>
      </c>
      <c r="G84" s="92">
        <f>J84+I84</f>
        <v>0</v>
      </c>
      <c r="H84" s="99">
        <f>G84*100/D84</f>
        <v>0</v>
      </c>
      <c r="I84" s="91"/>
      <c r="J84" s="92"/>
      <c r="K84" s="91">
        <f>N84+M84</f>
        <v>0</v>
      </c>
      <c r="L84" s="116">
        <f>K84*100/D84</f>
        <v>0</v>
      </c>
      <c r="M84" s="91"/>
      <c r="N84" s="91"/>
      <c r="O84" s="92">
        <f>D84-G84-K84</f>
        <v>9621000</v>
      </c>
      <c r="P84" s="92">
        <f>O84*100/D84</f>
        <v>100</v>
      </c>
      <c r="Q84" s="92">
        <f>E84-I84-M84</f>
        <v>470000</v>
      </c>
      <c r="R84" s="176">
        <f>F84-J84-N84</f>
        <v>9151000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9620000</v>
      </c>
      <c r="E87" s="98">
        <v>495000</v>
      </c>
      <c r="F87" s="117">
        <v>9125000</v>
      </c>
      <c r="G87" s="92">
        <f>J87+I87</f>
        <v>0</v>
      </c>
      <c r="H87" s="99">
        <f>G87*100/D87</f>
        <v>0</v>
      </c>
      <c r="I87" s="91"/>
      <c r="J87" s="92"/>
      <c r="K87" s="91">
        <f>N87+M87</f>
        <v>0</v>
      </c>
      <c r="L87" s="116">
        <f>K87*100/D87</f>
        <v>0</v>
      </c>
      <c r="M87" s="91"/>
      <c r="N87" s="91"/>
      <c r="O87" s="92">
        <f>D87-G87-K87</f>
        <v>9620000</v>
      </c>
      <c r="P87" s="92">
        <f>O87*100/D87</f>
        <v>100</v>
      </c>
      <c r="Q87" s="92">
        <f>E87-I87-M87</f>
        <v>495000</v>
      </c>
      <c r="R87" s="176">
        <f>F87-J87-N87</f>
        <v>9125000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3401000</v>
      </c>
      <c r="E91" s="98"/>
      <c r="F91" s="117">
        <f>3392000+9000</f>
        <v>3401000</v>
      </c>
      <c r="G91" s="92">
        <f>J91+I91</f>
        <v>0</v>
      </c>
      <c r="H91" s="99">
        <f>G91*100/D91</f>
        <v>0</v>
      </c>
      <c r="I91" s="91"/>
      <c r="J91" s="92"/>
      <c r="K91" s="91">
        <f>N91+M91</f>
        <v>0</v>
      </c>
      <c r="L91" s="116">
        <f>K91*100/D91</f>
        <v>0</v>
      </c>
      <c r="M91" s="91"/>
      <c r="N91" s="91"/>
      <c r="O91" s="92">
        <f>D91-G91-K91</f>
        <v>3401000</v>
      </c>
      <c r="P91" s="92">
        <f>O91*100/D91</f>
        <v>100</v>
      </c>
      <c r="Q91" s="91">
        <f>E91-I91-M91</f>
        <v>0</v>
      </c>
      <c r="R91" s="92">
        <f>F91-J91-N91</f>
        <v>3401000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0</v>
      </c>
      <c r="H96" s="99">
        <f>G96*100/D96</f>
        <v>0</v>
      </c>
      <c r="I96" s="91"/>
      <c r="J96" s="92"/>
      <c r="K96" s="92">
        <f>N96+M96</f>
        <v>820632</v>
      </c>
      <c r="L96" s="116">
        <f>K96*100/D96</f>
        <v>4.2339903002786095</v>
      </c>
      <c r="M96" s="91"/>
      <c r="N96" s="92">
        <f>99000+68520+166602+240000+246510</f>
        <v>820632</v>
      </c>
      <c r="O96" s="92">
        <f>D96-G96-K96</f>
        <v>18561368</v>
      </c>
      <c r="P96" s="92">
        <f>O96*100/D96</f>
        <v>95.7660096997214</v>
      </c>
      <c r="Q96" s="91">
        <f>E96-I96-M96</f>
        <v>0</v>
      </c>
      <c r="R96" s="176">
        <f>F96-J96-N96</f>
        <v>18561368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97495000</v>
      </c>
      <c r="E98" s="160">
        <f>E64+E67+E70+E74+E78+E81+E84+E87+E91+E96</f>
        <v>1453900</v>
      </c>
      <c r="F98" s="159">
        <f>F64+F67+F70+F74+F78+F81+F84+F87+F91+F96</f>
        <v>96041100</v>
      </c>
      <c r="G98" s="161">
        <f>J98+I98</f>
        <v>421759</v>
      </c>
      <c r="H98" s="105">
        <f>G98*100/D98</f>
        <v>0.4325955177188574</v>
      </c>
      <c r="I98" s="161">
        <f>I64+I67+I70+I74+I78+I81+I84+I87+I91+I96</f>
        <v>0</v>
      </c>
      <c r="J98" s="105">
        <f>J64+J67+J70+J74+J78+J81+J84+J87+J91+J96</f>
        <v>421759</v>
      </c>
      <c r="K98" s="161">
        <f>N98+M98</f>
        <v>1301620.41</v>
      </c>
      <c r="L98" s="105">
        <f>K98*100/D98</f>
        <v>1.3350637571157493</v>
      </c>
      <c r="M98" s="161">
        <f>M64+M67+M70+M74+M78+M81+M84+M87+M91+M96</f>
        <v>0</v>
      </c>
      <c r="N98" s="161">
        <f>N64+N67+N70+N74+N78+N81+N84+N87+N91+N96</f>
        <v>1301620.41</v>
      </c>
      <c r="O98" s="105">
        <f>D98-G98-K98</f>
        <v>95771620.59</v>
      </c>
      <c r="P98" s="105">
        <f>O98*100/D98</f>
        <v>98.23234072516539</v>
      </c>
      <c r="Q98" s="196">
        <f>E98-I98-M98</f>
        <v>1453900</v>
      </c>
      <c r="R98" s="114">
        <f>F98-J98-N98</f>
        <v>94317720.59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0</v>
      </c>
      <c r="H101" s="99">
        <f>G101*100/D101</f>
        <v>0</v>
      </c>
      <c r="I101" s="91"/>
      <c r="J101" s="92"/>
      <c r="K101" s="91">
        <f>N101+M101</f>
        <v>641217</v>
      </c>
      <c r="L101" s="116">
        <f>K101*100/D101</f>
        <v>7.286556818181818</v>
      </c>
      <c r="M101" s="91"/>
      <c r="N101" s="92">
        <f>81420+247230+65337+247230</f>
        <v>641217</v>
      </c>
      <c r="O101" s="92">
        <f>D101-G101-K101</f>
        <v>8158783</v>
      </c>
      <c r="P101" s="92">
        <f>O101*100/D101</f>
        <v>92.71344318181818</v>
      </c>
      <c r="Q101" s="91">
        <f>E101-I101-M101</f>
        <v>0</v>
      </c>
      <c r="R101" s="176">
        <f>F101-J101-N101</f>
        <v>8158783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0</v>
      </c>
      <c r="H104" s="105">
        <f>G104*100/D104</f>
        <v>0</v>
      </c>
      <c r="I104" s="161">
        <f>I101</f>
        <v>0</v>
      </c>
      <c r="J104" s="105">
        <f>J101</f>
        <v>0</v>
      </c>
      <c r="K104" s="161">
        <f>N104+M104</f>
        <v>641217</v>
      </c>
      <c r="L104" s="105">
        <f>K104*100/D104</f>
        <v>7.286556818181818</v>
      </c>
      <c r="M104" s="161">
        <f>M101</f>
        <v>0</v>
      </c>
      <c r="N104" s="161">
        <f>N101</f>
        <v>641217</v>
      </c>
      <c r="O104" s="105">
        <f>D104-G104-K104</f>
        <v>8158783</v>
      </c>
      <c r="P104" s="105">
        <f>O104*100/D104</f>
        <v>92.71344318181818</v>
      </c>
      <c r="Q104" s="149">
        <f>E104-I104-M104</f>
        <v>0</v>
      </c>
      <c r="R104" s="114">
        <f>F104-J104-N104</f>
        <v>8158783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117">
        <f>F107+E107</f>
        <v>190000</v>
      </c>
      <c r="E107" s="98"/>
      <c r="F107" s="117">
        <v>190000</v>
      </c>
      <c r="G107" s="92">
        <f>J107+I107</f>
        <v>0</v>
      </c>
      <c r="H107" s="99">
        <f>G107*100/D107</f>
        <v>0</v>
      </c>
      <c r="I107" s="92"/>
      <c r="J107" s="92"/>
      <c r="K107" s="92">
        <f>N107+M107</f>
        <v>17310</v>
      </c>
      <c r="L107" s="99">
        <f>K107*100/D107</f>
        <v>9.110526315789473</v>
      </c>
      <c r="M107" s="92"/>
      <c r="N107" s="92">
        <f>17310</f>
        <v>17310</v>
      </c>
      <c r="O107" s="92">
        <f>D107-G107-K107</f>
        <v>172690</v>
      </c>
      <c r="P107" s="92">
        <f>O107*100/D107</f>
        <v>90.88947368421053</v>
      </c>
      <c r="Q107" s="91">
        <f>E107-I107-M107</f>
        <v>0</v>
      </c>
      <c r="R107" s="92">
        <f>F107-J107-N107</f>
        <v>172690</v>
      </c>
    </row>
    <row r="108" spans="1:18" s="112" customFormat="1" ht="18" customHeight="1">
      <c r="A108" s="100"/>
      <c r="B108" s="87" t="s">
        <v>88</v>
      </c>
      <c r="C108" s="107"/>
      <c r="D108" s="147"/>
      <c r="E108" s="148"/>
      <c r="F108" s="147"/>
      <c r="G108" s="197"/>
      <c r="H108" s="99"/>
      <c r="I108" s="197"/>
      <c r="J108" s="99"/>
      <c r="K108" s="197"/>
      <c r="L108" s="99"/>
      <c r="M108" s="197"/>
      <c r="N108" s="197"/>
      <c r="O108" s="99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47"/>
      <c r="E109" s="148"/>
      <c r="F109" s="147"/>
      <c r="G109" s="197"/>
      <c r="H109" s="99"/>
      <c r="I109" s="197"/>
      <c r="J109" s="99"/>
      <c r="K109" s="197"/>
      <c r="L109" s="99"/>
      <c r="M109" s="197"/>
      <c r="N109" s="197"/>
      <c r="O109" s="99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117">
        <f>F110+E110</f>
        <v>400000</v>
      </c>
      <c r="E110" s="98"/>
      <c r="F110" s="117">
        <v>400000</v>
      </c>
      <c r="G110" s="92">
        <f>J110+I110</f>
        <v>0</v>
      </c>
      <c r="H110" s="99">
        <f>G110*100/D110</f>
        <v>0</v>
      </c>
      <c r="I110" s="92"/>
      <c r="J110" s="92"/>
      <c r="K110" s="92">
        <f>N110+M110</f>
        <v>34620</v>
      </c>
      <c r="L110" s="99">
        <f>K110*100/D110</f>
        <v>8.655</v>
      </c>
      <c r="M110" s="92"/>
      <c r="N110" s="92">
        <f>34620</f>
        <v>34620</v>
      </c>
      <c r="O110" s="92">
        <f>D110-G110-K110</f>
        <v>365380</v>
      </c>
      <c r="P110" s="92">
        <f>O110*100/D110</f>
        <v>91.345</v>
      </c>
      <c r="Q110" s="91">
        <f>E110-I110-M110</f>
        <v>0</v>
      </c>
      <c r="R110" s="92">
        <f>F110-J110-N110</f>
        <v>365380</v>
      </c>
    </row>
    <row r="111" spans="1:18" s="112" customFormat="1" ht="18" customHeight="1">
      <c r="A111" s="100"/>
      <c r="B111" s="87" t="s">
        <v>85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0</v>
      </c>
      <c r="H113" s="99">
        <f>G113*100/D113</f>
        <v>0</v>
      </c>
      <c r="I113" s="92"/>
      <c r="J113" s="92"/>
      <c r="K113" s="92">
        <f>N113+M113</f>
        <v>0</v>
      </c>
      <c r="L113" s="99">
        <f>K113*100/D113</f>
        <v>0</v>
      </c>
      <c r="M113" s="92"/>
      <c r="N113" s="92"/>
      <c r="O113" s="92">
        <f>D113-G113-K113</f>
        <v>400000</v>
      </c>
      <c r="P113" s="92">
        <f>O113*100/D113</f>
        <v>100</v>
      </c>
      <c r="Q113" s="91">
        <f>E113-I113-M113</f>
        <v>0</v>
      </c>
      <c r="R113" s="92">
        <f>F113-J113-N113</f>
        <v>400000</v>
      </c>
    </row>
    <row r="114" spans="1:18" s="112" customFormat="1" ht="18" customHeight="1">
      <c r="A114" s="100"/>
      <c r="B114" s="87" t="s">
        <v>95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117">
        <f>F116+E116</f>
        <v>140000</v>
      </c>
      <c r="E116" s="98"/>
      <c r="F116" s="117">
        <v>140000</v>
      </c>
      <c r="G116" s="92">
        <f>J116+I116</f>
        <v>0</v>
      </c>
      <c r="H116" s="99">
        <f>G116*100/D116</f>
        <v>0</v>
      </c>
      <c r="I116" s="92"/>
      <c r="J116" s="92"/>
      <c r="K116" s="92">
        <f>N116+M116</f>
        <v>11540</v>
      </c>
      <c r="L116" s="99">
        <f>K116*100/D116</f>
        <v>8.242857142857142</v>
      </c>
      <c r="M116" s="92"/>
      <c r="N116" s="92">
        <f>11540</f>
        <v>11540</v>
      </c>
      <c r="O116" s="92">
        <f>D116-G116-K116</f>
        <v>128460</v>
      </c>
      <c r="P116" s="92">
        <f>O116*100/D116</f>
        <v>91.75714285714285</v>
      </c>
      <c r="Q116" s="91">
        <f>E116-I116-M116</f>
        <v>0</v>
      </c>
      <c r="R116" s="92">
        <f>F116-J116-N116</f>
        <v>128460</v>
      </c>
    </row>
    <row r="117" spans="1:18" s="112" customFormat="1" ht="18" customHeight="1">
      <c r="A117" s="100"/>
      <c r="B117" s="87" t="s">
        <v>88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8">
        <f>F118+E118</f>
        <v>1130000</v>
      </c>
      <c r="E118" s="199">
        <f>E107+E110+E113+E116</f>
        <v>0</v>
      </c>
      <c r="F118" s="198">
        <f>F107+F110+F113+F116</f>
        <v>1130000</v>
      </c>
      <c r="G118" s="200">
        <f>J118+I118</f>
        <v>0</v>
      </c>
      <c r="H118" s="195">
        <f>G118*100/D118</f>
        <v>0</v>
      </c>
      <c r="I118" s="200">
        <f>I107+I110+I113+I116</f>
        <v>0</v>
      </c>
      <c r="J118" s="195">
        <f>J107+J110+J113+J116</f>
        <v>0</v>
      </c>
      <c r="K118" s="200">
        <f>N118+M118</f>
        <v>63470</v>
      </c>
      <c r="L118" s="195">
        <f>K118*100/D118</f>
        <v>5.616814159292035</v>
      </c>
      <c r="M118" s="200">
        <f>M107+M110+M113+M116</f>
        <v>0</v>
      </c>
      <c r="N118" s="200">
        <f>N107+N110+N113+N116</f>
        <v>63470</v>
      </c>
      <c r="O118" s="195">
        <f>D118-G118-K118</f>
        <v>1066530</v>
      </c>
      <c r="P118" s="195">
        <f>O118*100/D118</f>
        <v>94.38318584070797</v>
      </c>
      <c r="Q118" s="194"/>
      <c r="R118" s="195">
        <f>F118-J118-N118</f>
        <v>1066530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5" t="s">
        <v>124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5.75" customHeight="1">
      <c r="A2" s="206" t="s">
        <v>0</v>
      </c>
      <c r="B2" s="206" t="s">
        <v>1</v>
      </c>
      <c r="C2" s="209" t="s">
        <v>2</v>
      </c>
      <c r="D2" s="208" t="s">
        <v>3</v>
      </c>
      <c r="E2" s="208"/>
      <c r="F2" s="208"/>
      <c r="G2" s="208" t="s">
        <v>7</v>
      </c>
      <c r="H2" s="208"/>
      <c r="I2" s="208"/>
      <c r="J2" s="208"/>
      <c r="K2" s="208" t="s">
        <v>9</v>
      </c>
      <c r="L2" s="208"/>
      <c r="M2" s="208"/>
      <c r="N2" s="208"/>
      <c r="O2" s="208" t="s">
        <v>10</v>
      </c>
      <c r="P2" s="208"/>
      <c r="Q2" s="208"/>
      <c r="R2" s="208"/>
    </row>
    <row r="3" spans="1:18" ht="14.25" customHeight="1">
      <c r="A3" s="206"/>
      <c r="B3" s="206"/>
      <c r="C3" s="20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2017-12-04T02:37:55Z</cp:lastPrinted>
  <dcterms:created xsi:type="dcterms:W3CDTF">2009-12-25T03:29:35Z</dcterms:created>
  <dcterms:modified xsi:type="dcterms:W3CDTF">2017-12-06T04:00:07Z</dcterms:modified>
  <cp:category/>
  <cp:version/>
  <cp:contentType/>
  <cp:contentStatus/>
</cp:coreProperties>
</file>