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firstSheet="2" activeTab="7"/>
  </bookViews>
  <sheets>
    <sheet name="งบปกติ (ผลผลิตที่ 1,4 ปี 58)" sheetId="1" r:id="rId1"/>
    <sheet name="งบปกติ (ผลผลิตที่ 1,4 ปี 59)" sheetId="2" r:id="rId2"/>
    <sheet name="เงินกันฯ (ค่าใช้จ่ายตามแผนฯ)" sheetId="3" r:id="rId3"/>
    <sheet name="ม.600 (งบกระตุ้นเศรษฐกิจ)" sheetId="4" r:id="rId4"/>
    <sheet name="Sheet1" sheetId="5" r:id="rId5"/>
    <sheet name="Sheet3" sheetId="6" r:id="rId6"/>
    <sheet name="งบกลาง ( ปี 59 )" sheetId="7" r:id="rId7"/>
    <sheet name="งบลงทุน (ปี 60)" sheetId="8" r:id="rId8"/>
    <sheet name="งบจังหวัด (30 ล้าน)" sheetId="9" r:id="rId9"/>
    <sheet name="งบกลาง (ครุภัณฑ์) (2)" sheetId="10" r:id="rId10"/>
  </sheets>
  <definedNames/>
  <calcPr fullCalcOnLoad="1"/>
</workbook>
</file>

<file path=xl/sharedStrings.xml><?xml version="1.0" encoding="utf-8"?>
<sst xmlns="http://schemas.openxmlformats.org/spreadsheetml/2006/main" count="829" uniqueCount="478">
  <si>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</si>
  <si>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</si>
  <si>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</si>
  <si>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</si>
  <si>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</si>
  <si>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</si>
  <si>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</si>
  <si>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</si>
  <si>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</si>
  <si>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</si>
  <si>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</si>
  <si>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</si>
  <si>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บำรุงรักษากิ่วลม-กิ่วคอหมา จังหวัดลำปาง</t>
  </si>
  <si>
    <t>ซ่อมแซมบำรุงรักษาระบบชลประทาน 1 งาน</t>
  </si>
  <si>
    <t>ซ่อมแซมบำรุงรักษาเครื่องกำเนิดไฟฟ้าพลังน้ำเขื่อน</t>
  </si>
  <si>
    <t>กิ่วลมและบานระบายเขื่อนกิ่วคอหมา 2 แห่ง</t>
  </si>
  <si>
    <t>และบำรุงรักษากิ่วลม-กิ่วคอหมา จังหวัดลำปาง</t>
  </si>
  <si>
    <t>รหัสงบประมาณ   07003220014100J1  (ค่ากำจัดวัชพืช)</t>
  </si>
  <si>
    <t>กำจัดวัชพืชด้วยเรือและแรงคน ภายในบริเวณอ่างเก็บน้ำ</t>
  </si>
  <si>
    <t>เขื่อนกิ่วลม</t>
  </si>
  <si>
    <t>22 ต.ค.57</t>
  </si>
  <si>
    <t>24 ต.ค.57</t>
  </si>
  <si>
    <t>ปรับปรุงคลองซอย 15.2L-RMC.กิ่วลม โครงการส่งน้ำ</t>
  </si>
  <si>
    <t>ปรับปรุงคลองซอย 14.5L-RMC.กิ่วลม โครงการส่งน้ำ</t>
  </si>
  <si>
    <t>30 ต.ค.57</t>
  </si>
  <si>
    <t>รหัสงบประมาณ   07003220014100A2  (งานซ่อมแซมฯ)</t>
  </si>
  <si>
    <t>ซ่อมแซมและต่อเติมอาคารสวัสดิการเขื่อนกิ่วลม 1 หลัง</t>
  </si>
  <si>
    <t>ซ่อมแซมบ้านพักข้าราชการระดับ 5-6  1 หลัง</t>
  </si>
  <si>
    <t>ซ่อมแซมรางระบายน้ำเขื่อนกิ่วลม 1 แห่ง</t>
  </si>
  <si>
    <t>ซ่อมแซมคลองซอย 11.2L-0.1R-RMC.กิ่วลม 1 กม.</t>
  </si>
  <si>
    <t xml:space="preserve">รหัสงบประมาณ   07003220014100E5  </t>
  </si>
  <si>
    <t xml:space="preserve">รหัสงบประมาณ   07003220014100D7 </t>
  </si>
  <si>
    <t xml:space="preserve">รหัสงบประมาณ   07003220014100C8 </t>
  </si>
  <si>
    <t>รหัสงบประมาณ   07003220014100G2</t>
  </si>
  <si>
    <t>รหัสงบประมาณ   07003220014100B0</t>
  </si>
  <si>
    <t xml:space="preserve">รหัสงบประมาณ   0700322001410701  </t>
  </si>
  <si>
    <t xml:space="preserve">รหัสงบประมาณ   0700322001420197  </t>
  </si>
  <si>
    <t>รวมงบลงทุน  (งานซ่อมแซมฯ)</t>
  </si>
  <si>
    <t>รหัสงบประมาณ   0700322004420036</t>
  </si>
  <si>
    <t>อาคารป้องกันการกัดเซาะท้ายเขื่อนกิ่วลม จังหวัดลำปาง</t>
  </si>
  <si>
    <t>7 พ.ย.57</t>
  </si>
  <si>
    <t>ปรับปรุงคลอง RMC.กิ่วลม ระยะที่ 2 โครงการส่งน้ำและ</t>
  </si>
  <si>
    <t>รหัสงบประมาณ   07003220014100H2</t>
  </si>
  <si>
    <t>บำรุงรักษาหัวงานและคลองส่งน้ำ 1 งาน</t>
  </si>
  <si>
    <t>4 พ.ย.57</t>
  </si>
  <si>
    <t>รหัสงบประมาณ   07003220014100H1</t>
  </si>
  <si>
    <t>บริหารการส่งน้ำในเขตโครงการ 1 งาน</t>
  </si>
  <si>
    <t>ขุดลอกและเปิดทางน้ำแม่น้ำวังท้ายเขื่อนกิ่วคอหมา</t>
  </si>
  <si>
    <t>บ้านม่วง หมู่ที่ 4  90,700 ลบ.ม.</t>
  </si>
  <si>
    <t>10 พ.ย.57</t>
  </si>
  <si>
    <t>รหัสงบประมาณ   07003220014100H8</t>
  </si>
  <si>
    <t>บ้านฮ่องลี่ หมู่ที่ 5  88,000 ลบ.ม.</t>
  </si>
  <si>
    <t>รหัสงบประมาณ   07003220014100H9</t>
  </si>
  <si>
    <t xml:space="preserve">ขุดลอกและเปิดทางน้ำแม่น้ำวังท้ายเขื่อนกิ่วลม </t>
  </si>
  <si>
    <t>กม.3+400-กม.5+700   147,700 ลบ.ม.</t>
  </si>
  <si>
    <t>รวมงบลงทุน  (งานขุดลอกฯ)</t>
  </si>
  <si>
    <t>ซ่อมแซมคลอง RMC.กิ่วลม กม.11+265-กม.11+301</t>
  </si>
  <si>
    <t>(ฝั่งขวา) 1 แห่ง</t>
  </si>
  <si>
    <t>19 พ.ย.57</t>
  </si>
  <si>
    <t>รหัสงบประมาณ   07003220014100F5</t>
  </si>
  <si>
    <t>ซ่อมแซมอาคารเอนกประสงค์เขื่อนกิ่วลม 1 หลัง</t>
  </si>
  <si>
    <t>รหัสงบประมาณ   07003220014100G1</t>
  </si>
  <si>
    <t>ซ่อมแซมเครื่องกว้านและบานระบายคลองซอยและ</t>
  </si>
  <si>
    <t>คลองสายใหญ่ RMC.กิ่วลม  20 แห่ง</t>
  </si>
  <si>
    <t>ซ่อมแซมคันคลอง RMC.กิ่วลม กม.42+300-กม.52+</t>
  </si>
  <si>
    <t>000   1 สาย</t>
  </si>
  <si>
    <t>รหัสงบประมาณ   07003220014100C0</t>
  </si>
  <si>
    <t>รหัสงบประมาณ   07003220014100B4</t>
  </si>
  <si>
    <t>ซ่อมแซมรางระบายน้ำ (Saddle Dam) เขื่อนกิ่วคอหมา</t>
  </si>
  <si>
    <t>1 แห่ง</t>
  </si>
  <si>
    <t>รหัสงบประมาณ   07003220014100A9</t>
  </si>
  <si>
    <t>ซ่อมแซมคอนกรีตดาดคลอง กม.26+361-กม.26+391,</t>
  </si>
  <si>
    <t>กม.27+270-กม.27+300 และ กม.27+630-กม.27+651</t>
  </si>
  <si>
    <t>RMC.กิ่วลม  0.100 กม.</t>
  </si>
  <si>
    <t>รหัสงบประมาณ   07003220014100F2</t>
  </si>
  <si>
    <t>ซ่อมแซมอาคารรางเท ปลายคลองซอย 20.0L-RMC.</t>
  </si>
  <si>
    <t>กิ่วลม กม.1+563-กม.1+613   0.050 กม.</t>
  </si>
  <si>
    <t>รหัสงบประมาณ   07003220014100A6</t>
  </si>
  <si>
    <t>ซ่อมแซมคอนกรีตดาดคลอง ท้ายท่อส่งน้ำ กม.36+200</t>
  </si>
  <si>
    <t>RMC.กิ่วลม  1.000 กม.</t>
  </si>
  <si>
    <t>รหัสงบประมาณ   07003220014100E1</t>
  </si>
  <si>
    <t>ซ่อมแซมคอนกรีตดาดคลองซอย 23.8L-0.5 กม.0+000-</t>
  </si>
  <si>
    <t>กม.0+330   0.350 กม.</t>
  </si>
  <si>
    <t>รหัสงบประมาณ   07003220014100D3</t>
  </si>
  <si>
    <t>ซ่อมแซมอาคารรับน้ำป่าในเขตคลอง RMC.กิ่วลม</t>
  </si>
  <si>
    <t>กม.18+700  1 แห่ง</t>
  </si>
  <si>
    <t>รหัสงบประมาณ   07003220014100E7</t>
  </si>
  <si>
    <t>ซ่อมแซมอาคารน้ำตกคลองซอย 23.0L+2.1R+0.5L กม.</t>
  </si>
  <si>
    <t>1+750,23.8L-0.5L กม.0+549,23.8L-0.5L กม.2+722 3 แห่ง</t>
  </si>
  <si>
    <t>รหัสงบประมาณ   07003220014100E2</t>
  </si>
  <si>
    <t>ซ่อมแซมคลองซอย 11.2L-RMC.กิ่วลม   1.837 กม.</t>
  </si>
  <si>
    <t>รหัสงบประมาณ   07003220014100F6</t>
  </si>
  <si>
    <t>ซ่อมแซมคลองซอย 18.3L-RMC.กิ่วลม   3.880 กม.</t>
  </si>
  <si>
    <t>รหัสงบประมาณ   0700322001420225 (ค่าปรับปรุงแหล่งน้ำ)</t>
  </si>
  <si>
    <t>โรงจอดรถเขื่อนกิ่วลม จำนวน 2 หลัง โครงการส่งน้ำ</t>
  </si>
  <si>
    <t xml:space="preserve">รหัสงบประมาณ   0700322001410740 </t>
  </si>
  <si>
    <t>ปรับปรุงหลังคาอาคารควบคุมเครื่องกว้านบานระบาย</t>
  </si>
  <si>
    <t>และระบบเครื่องกล-ไฟฟ้าอาคารระบายน้ำล้นเขื่อน</t>
  </si>
  <si>
    <t>กิ่วคอหมา โครงการส่งน้ำและบำรุงรักษากิ่วลม-กิ่วคอหมา</t>
  </si>
  <si>
    <t>จังหวัดลำปาง</t>
  </si>
  <si>
    <t xml:space="preserve">รหัสงบประมาณ   0700322001410741  </t>
  </si>
  <si>
    <t>ป้ายชื่อโครงการ โครงการส่งน้ำและบำรุงรักษากิ่วลม-</t>
  </si>
  <si>
    <t>กิ่วคอหมา จังหวัดลำปาง</t>
  </si>
  <si>
    <t xml:space="preserve">รหัสงบประมาณ   0700322001410742  </t>
  </si>
  <si>
    <t xml:space="preserve">ปรับปรุงรั้วลวดหนามบริเวณหัวงานเขื่อนกิ่วลม </t>
  </si>
  <si>
    <t>โครงการส่งน้ำและบำรุงรักษากิ่วลม-กิ่วคอหมา จ.ลำปาง</t>
  </si>
  <si>
    <t>รหัสงบประมาณ   0700322001410739  (ปรับปรุง-ค่าก่อสร้างอื่น)</t>
  </si>
  <si>
    <t>รหัสงบประมาณ   0700322001420196  (งานปรับปรุงโครงการฯ)</t>
  </si>
  <si>
    <t>รวมงบลงทุน (งานปรับปรุงโครงการฯ)</t>
  </si>
  <si>
    <t>รวมงบลงทุน  (งานปรับปรุง-ค่าก่อสร้างอื่น)</t>
  </si>
  <si>
    <t>รหัสงบประมาณ   07003220014100H7 (งานขุดลอกฯ)</t>
  </si>
  <si>
    <t>รหัสงบประมาณ   07003220014100J5 (ค่าบำรุงรักษาทางลำเลียงฯ)</t>
  </si>
  <si>
    <t>ค่าบำรุงรักษาทางลำเลียงใหญ่ในเขตโครงการส่งน้ำและ</t>
  </si>
  <si>
    <t>ซ่อมแซมคลอง RMC.กิ่วลม กม.23+000-กม.24+000</t>
  </si>
  <si>
    <t>ซ่อมแซมคลองแยกซอย 16.6L-RMC.กิ่วลม กม.0+963</t>
  </si>
  <si>
    <t>2.428 กม.</t>
  </si>
  <si>
    <t xml:space="preserve">รหัสงบประมาณ   07003220014100D2 </t>
  </si>
  <si>
    <t>24 ธ.ค.57</t>
  </si>
  <si>
    <t>***</t>
  </si>
  <si>
    <t>*</t>
  </si>
  <si>
    <t>**</t>
  </si>
  <si>
    <t xml:space="preserve">รหัสงบประมาณ   07003220014100B1 </t>
  </si>
  <si>
    <t>****</t>
  </si>
  <si>
    <t xml:space="preserve">รหัสงบประมาณ   07003220014100F0 </t>
  </si>
  <si>
    <t>ซ่อมแซมถนนภายในบริเวณหัวงานเขื่อนกิ่วลม 1 แห่ง</t>
  </si>
  <si>
    <t xml:space="preserve"> 6 ม.ค.58</t>
  </si>
  <si>
    <t xml:space="preserve">รหัสงบประมาณ   07003220014100F8 </t>
  </si>
  <si>
    <t>ซ่อมแซมพื้นอาคารสลายพลังงานป้องกันการกัดเซาะ</t>
  </si>
  <si>
    <t>ท้ายตัวเขื่อนกิ่วลม 1 แห่ง</t>
  </si>
  <si>
    <t xml:space="preserve"> 14 ม.ค.58</t>
  </si>
  <si>
    <t xml:space="preserve"> 13 ม.ค.58</t>
  </si>
  <si>
    <t>รหัสงบประมาณ   07003220014100I1</t>
  </si>
  <si>
    <t xml:space="preserve"> 23 ม.ค.58</t>
  </si>
  <si>
    <t>รหัสงบประมาณ   07003220014100I3</t>
  </si>
  <si>
    <t>ขุดลอกและเปิดทางน้ำแม่น้ำวังบ้านสบฟ้า หมู่ที่ 7</t>
  </si>
  <si>
    <t>รหัสงบประมาณ   07003220014100I5</t>
  </si>
  <si>
    <t>ขุดลอกและเปิดทางน้ำเหนือและท้ายสะพาน บ้านม่วง หมู่ที่ 6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</si>
  <si>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</si>
  <si>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</si>
  <si>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</si>
  <si>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0700322001420001</t>
  </si>
  <si>
    <t>รหัสงบประมาณ   0700322018420001  (โครงการกิ่วคอหมา จ.ลำปาง)</t>
  </si>
  <si>
    <t>รหัสงบประมาณ   0700322001410ZC4  (ค่ากำจัดวัชพืช ระยะที่ 2)</t>
  </si>
  <si>
    <t>เขื่อนกิ่วลม (ระยะที่ 2)</t>
  </si>
  <si>
    <t>19 ก.พ.58</t>
  </si>
  <si>
    <t>ขุดลอกและเปิดทางน้ำแม่น้ำวังท้ายเขื่อนกิ่วคอหมา กม.11+550-</t>
  </si>
  <si>
    <t>กม.14+000</t>
  </si>
  <si>
    <t>24 ก.พ.58</t>
  </si>
  <si>
    <t>ขุดลอกเปิดทางน้ำแม่น้ำวังท้าย River Outter ท้ายเขื่อนกิ่วคอหมา</t>
  </si>
  <si>
    <t>ขุดลอกเปิดทางน้ำวังท้ายเขื่อนกิ่วคอหมา บ้านหลวงใต้ หมู่ที่ 1</t>
  </si>
  <si>
    <t>รหัสงบประมาณ   07003220014100I2</t>
  </si>
  <si>
    <t>รหัสงบประมาณ   07003220014100I4</t>
  </si>
  <si>
    <t>รหัสงบประมาณ   07003220014100I6</t>
  </si>
  <si>
    <t xml:space="preserve"> 3 มี.ค.58</t>
  </si>
  <si>
    <t>แม่น้ำวังท้ายเขื่อนกิ่วลม กม.1+500-กม.3+400</t>
  </si>
  <si>
    <t>23 มี.ค.58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</si>
  <si>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สชป.2.10/566/2558  ลว. 26 มี.ค.58  ผลผลิตที่ 1 การจัดการน้ำชลประทาน  จำนวนเงิน  616,887.12 บาท และ ตามหนังสือที่ กง.ผง. 1239/58  ลว.31 มี.ค.58 จำนวนเงิน 616886.-บาท </t>
    </r>
  </si>
  <si>
    <t>รวมงบลงทุน  ผลผลิตที่ 1 การจัดการน้ำชลประทาน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</si>
  <si>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</si>
  <si>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r>
      <rPr>
        <b/>
        <u val="single"/>
        <sz val="14"/>
        <color indexed="8"/>
        <rFont val="Angsana New"/>
        <family val="1"/>
      </rPr>
      <t>ผลผลิตที่ 1</t>
    </r>
    <r>
      <rPr>
        <b/>
        <sz val="11"/>
        <color indexed="8"/>
        <rFont val="Angsana New"/>
        <family val="1"/>
      </rPr>
      <t xml:space="preserve"> การจัดการน้ำชลประทาน  แผนงาน ส่งเสริมการบริหารจัดการน้ำอย่างบูรณาการ</t>
    </r>
  </si>
  <si>
    <t>รหัสงบประมาณ   0700322001420003</t>
  </si>
  <si>
    <t>โครงการจัดทำระบบฐานข้อมูลด้านระบบชลประทานและการ</t>
  </si>
  <si>
    <t>ปรับปรุงบำรุงรักษา</t>
  </si>
  <si>
    <t>1 พ.ค.58</t>
  </si>
  <si>
    <t>รายงานผลการเบิกจ่าย  โครงการส่งน้ำและบำรุงรักษากิ่วลม-กิ่วคอหมา  ณ วันที่  30  ก.ย.  2558</t>
  </si>
  <si>
    <t>รหัสงบประมาณ   0700322004420042</t>
  </si>
  <si>
    <t>รหัสงบประมาณ   0700322001410BJ7  (ค่ากำจัดวัชพืช)</t>
  </si>
  <si>
    <t>กำจัดวัชพืชในอ่างเก็บน้ำเขื่อนกิ่วลม โครงการส่งน้ำและ</t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</si>
  <si>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</si>
  <si>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</si>
  <si>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</si>
  <si>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</si>
  <si>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</si>
  <si>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</si>
  <si>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</si>
  <si>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</si>
  <si>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</si>
  <si>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</si>
  <si>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</si>
  <si>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</si>
  <si>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</si>
  <si>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</si>
  <si>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</si>
  <si>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</si>
  <si>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</si>
  <si>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</si>
  <si>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</si>
  <si>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</si>
  <si>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</si>
  <si>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</si>
  <si>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</si>
  <si>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</si>
  <si>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</si>
  <si>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</si>
  <si>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</si>
  <si>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</si>
  <si>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 xml:space="preserve">รหัสงบประมาณ   0700322001410C00 </t>
  </si>
  <si>
    <t>ซ่อมแซมบำรุงรักษาระบบชลประทาน โครงการส่งน้ำ</t>
  </si>
  <si>
    <t>และบำรุงรักษากิ่วลม-กิ่วคอหมา จ.ลำปาง</t>
  </si>
  <si>
    <t>8 ต.ค.58</t>
  </si>
  <si>
    <t>ซ่อมแซมบ้านพัก จ.9 โครงการส่งน้ำและบำรุงรักษา</t>
  </si>
  <si>
    <t>กิ่วลม-กิ่วคอหมา ต.บ้านแลง อ.เมืองลำปาง จ.ลำปาง</t>
  </si>
  <si>
    <t xml:space="preserve">ซ่อมแซมป้อมยามภายในบริเวณหัวงานเขื่อนกิ่วลม </t>
  </si>
  <si>
    <t xml:space="preserve">โครงการส่งน้ำและบำรุงรักษากิ่วลม-กิ่วคอหมา </t>
  </si>
  <si>
    <t>ต.บ้านแลง อ.เมืองลำปาง จ.ลำปาง</t>
  </si>
  <si>
    <t xml:space="preserve">ซ่อมแซมท่อส่งน้ำและคอนกรีตดาดคลองซอย กม.5+838 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</si>
  <si>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</si>
  <si>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</si>
  <si>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ซ่อมแซมขยายอาคารบังคับน้ำพร้อมเปลี่ยนท่อส่งน้ำและ</t>
  </si>
  <si>
    <t>ซ่อมแซมคอนกรีตดาดคลองซอย กม.6+995 โครงการ</t>
  </si>
  <si>
    <t>ส่งน้ำและบำรุงรักษากิ่วลม-กิ่วคอหมา ต.บุญนาคพัฒนา</t>
  </si>
  <si>
    <t>อ.เมืองลำปาง จ.ลำปาง</t>
  </si>
  <si>
    <t>ซ่อมแซมคอนกรีตดาดคลองซอย กม.6+317 โครงการ</t>
  </si>
  <si>
    <t>ซ่อมแซมคอนกรีตดาดคลองซอย กม.4+232 โครงการ</t>
  </si>
  <si>
    <t>ซ่อมแซมเครื่องกว้านและบานระบายคลองซอยและคลอง</t>
  </si>
  <si>
    <t>สายใหญ่ RMC.กิ่วลม โครงการส่งน้ำและบำรุงรักษา</t>
  </si>
  <si>
    <t>รหัสงบประมาณ   0700322001410C01</t>
  </si>
  <si>
    <t xml:space="preserve">รหัสงบประมาณ   0700322001410C02 </t>
  </si>
  <si>
    <t xml:space="preserve">รหัสงบประมาณ   0700322001410C03 </t>
  </si>
  <si>
    <t xml:space="preserve">รหัสงบประมาณ   0700322001410C04 </t>
  </si>
  <si>
    <t xml:space="preserve">รหัสงบประมาณ   0700322001410C05 </t>
  </si>
  <si>
    <t xml:space="preserve">รหัสงบประมาณ   0700322001410C06 </t>
  </si>
  <si>
    <t xml:space="preserve">รหัสงบประมาณ   0700322001410C07 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</si>
  <si>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</si>
  <si>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</si>
  <si>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ซ่อมแซมคอนกรีตดาดพร้อมอาคารประกอบ คลองซอย</t>
  </si>
  <si>
    <t>15.2 กม.3+836-กม.4+000 RMC.กิ่วลม โครงการส่งน้ำ</t>
  </si>
  <si>
    <t>และบำรุงรักษากิ่วลม-กิ่วคอหมา ต.นิคมพัฒนา อ.เมือง จ.ลำปาง</t>
  </si>
  <si>
    <t>ซ่อมแซมคลองแยกซอย กม.16+600 โครงการส่งน้ำและ</t>
  </si>
  <si>
    <t>บำรุงรักษากิ่วลม-กิ่วคอหมา ต.นิคมพัฒนา อ.เมือง จ.ลำปาง</t>
  </si>
  <si>
    <t xml:space="preserve">ซ่อมแซมรางระบายน้ำและท่อลอดถนน กม.15+100 </t>
  </si>
  <si>
    <t>RMC.กิ่วลม (ฝั่งซ้ายคลอง) โครงการส่งน้ำและบำรุงรักษา</t>
  </si>
  <si>
    <t>กิ่วลม-กิ่วคอหมา ต.นิคมพัฒนา อ.เมืองลำปาง จ.ลำปาง</t>
  </si>
  <si>
    <t>1.14</t>
  </si>
  <si>
    <t>ซ่อมแซมคอนกรีตดาดคลอง RMC กม.14+871 โครงการ</t>
  </si>
  <si>
    <t xml:space="preserve">ส่งน้ำและบำรุงรักษากิ่วลม-กิ่วคอหมา ต.นิคมพัฒนา </t>
  </si>
  <si>
    <t xml:space="preserve">รหัสงบประมาณ   0700322001410C08 </t>
  </si>
  <si>
    <t>รหัสงบประมาณ   0700322001410C09</t>
  </si>
  <si>
    <t xml:space="preserve">รหัสงบประมาณ   0700322001410C10 </t>
  </si>
  <si>
    <t xml:space="preserve">รหัสงบประมาณ   0700322001410C11 </t>
  </si>
  <si>
    <t>รหัสงบประมาณ   0700322001410C12</t>
  </si>
  <si>
    <t xml:space="preserve">รหัสงบประมาณ   0700322001410C13 </t>
  </si>
  <si>
    <t>ซ่อมแซมคอนกรีตดาดท้ายท่อส่งน้ำ กม.26+847 RMC.</t>
  </si>
  <si>
    <t>กิ่วลม ยาว 0.7 กม. โครงการส่งน้ำและบำรุงรักษากิ่วลม-</t>
  </si>
  <si>
    <t>กิ่วคอหมา ต.ต้นธงชัย อ.เมืองลำปาง จ.ลำปาง</t>
  </si>
  <si>
    <t xml:space="preserve">รหัสงบประมาณ   0700322001410C14 </t>
  </si>
  <si>
    <t>ซ่อมแซมคอนกรีตดาดท้ายท่อส่งน้ำ กม.28+546 RMC.</t>
  </si>
  <si>
    <t>กิ่วลม ยาว 0.05 กม. โครงการส่งน้ำและบำรุงรักษากิ่วลม-</t>
  </si>
  <si>
    <t xml:space="preserve">รหัสงบประมาณ   0700322001410C15 </t>
  </si>
  <si>
    <t>ซ่อมแซมคอนกรีตดาดท้ายท่อส่งน้ำ กม.30+767 RMC.</t>
  </si>
  <si>
    <t>กิ่วลม ยาว 0.30 กม. โครงการส่งน้ำและบำรุงรักษากิ่วลม-</t>
  </si>
  <si>
    <t xml:space="preserve">รหัสงบประมาณ   0700322001410C16 </t>
  </si>
  <si>
    <t>ซ่อมแซมคอนกรีตดาดท้ายท่อส่งน้ำ กม.25+681 RMC.</t>
  </si>
  <si>
    <t>กิ่วลม ยาว 0.8 กม. โครงการส่งน้ำและบำรุงรักษากิ่วลม-</t>
  </si>
  <si>
    <t xml:space="preserve">รหัสงบประมาณ   0700322001410C17 </t>
  </si>
  <si>
    <t>ซ่อมแซมหลักขอบถนน (Guard Post) บริเวณหัวงาน</t>
  </si>
  <si>
    <t>เขื่อนกิ่วคอหมา โครงการส่งน้ำและบำรุงรักษากิ่วลม-</t>
  </si>
  <si>
    <t>กิ่วคอหมา ต.ปงดอน อ.แจ้ห่ม จ.ลำปาง</t>
  </si>
  <si>
    <t xml:space="preserve">รหัสงบประมาณ   0700322001410C18 </t>
  </si>
  <si>
    <t>1.20</t>
  </si>
  <si>
    <t>ซ่อมแซมรั้วลวดหนามเขื่อนกิ่วคอหมา โครงการส่งน้ำ</t>
  </si>
  <si>
    <t>และบำรุงรักษากิ่วลม-กิ่วคอหมา ต.ปงดอน อ.แจ้ห่ม</t>
  </si>
  <si>
    <t>จ.ลำปาง</t>
  </si>
  <si>
    <t>รวมงบลงทุน (งานซ่อมแซมฯ)</t>
  </si>
  <si>
    <r>
      <rPr>
        <b/>
        <u val="single"/>
        <sz val="14"/>
        <color indexed="8"/>
        <rFont val="Angsana New"/>
        <family val="1"/>
      </rPr>
      <t>ผลผลิตที่ 1</t>
    </r>
    <r>
      <rPr>
        <b/>
        <sz val="11"/>
        <color indexed="8"/>
        <rFont val="Angsana New"/>
        <family val="1"/>
      </rPr>
      <t xml:space="preserve"> การจัดการน้ำชลประทาน  แผนงาน บริหารจัดการทรัพยากรน้ำ</t>
    </r>
  </si>
  <si>
    <t>รักษากิ่วลม-กิ่วคอหมา ต.บ้านแลง อ.เมืองลำปาง จ.ลำปาง</t>
  </si>
  <si>
    <t xml:space="preserve">อาคารป้องกันการกัดเซาะท้ายเขื่อนกิ่วลม ระยะที่ 2 </t>
  </si>
  <si>
    <t>(ฝั่งขวา) จ.ลำปาง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</si>
  <si>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 บริหารจัดการทรัพยากรน้ำ</t>
    </r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</si>
  <si>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</si>
  <si>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</si>
  <si>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</si>
  <si>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</si>
  <si>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</si>
  <si>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</si>
  <si>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</si>
  <si>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</si>
  <si>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</si>
  <si>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 xml:space="preserve">รหัสงบประมาณ   0700322001410DX8 </t>
  </si>
  <si>
    <t>บำรุงรักษาหัวงานและคลองส่งน้ำ โครงการส่งน้ำและ</t>
  </si>
  <si>
    <t>บำรุงรักษากิ่วลม-กิ่วคอหมา ต.ปงดอน อ.แจ้ห่ม</t>
  </si>
  <si>
    <t>15 ต.ค.58</t>
  </si>
  <si>
    <t xml:space="preserve">รหัสงบประมาณ   0700322001410DI4 </t>
  </si>
  <si>
    <t>บำรุงรักษาทางลำเลียงใหญ่ โครงการส่งน้ำและบำรุงรักษา</t>
  </si>
  <si>
    <t>กิ่วลม-กิ่วคอหมา ต.บ้านแลง อ.เมือง จ.ลำปาง</t>
  </si>
  <si>
    <t xml:space="preserve">รหัสงบประมาณ   0700322001410DX9 </t>
  </si>
  <si>
    <t>บริหารการส่งน้ำในเขตโครงการ โครงการส่งน้ำและ</t>
  </si>
  <si>
    <t xml:space="preserve">รหัสงบประมาณ   0700322001410GF4 </t>
  </si>
  <si>
    <t>ปรุบปรุงสะพานคอนกรีตเสริมเหล็ก คลอง RMC.กิ่วลม</t>
  </si>
  <si>
    <t>กม.4+070 โครงการส่งน้ำและบำรุงรักษากิ่วลม-กิ่วคอหมา</t>
  </si>
  <si>
    <t>ต.นิคมพัฒนา อ.เมืองลำปาง จ.ลำปาง</t>
  </si>
  <si>
    <t>19 ต.ค.58</t>
  </si>
  <si>
    <t>ปรับปรุงคลองซอย 28.8L-RMC.กิ่วลม โครงการส่งน้ำ</t>
  </si>
  <si>
    <t>และบำรุงรักษากิ่วลม-กิ่วคอหมา ต.ต้นธงชัย อ.เมือง</t>
  </si>
  <si>
    <t xml:space="preserve">รหัสงบประมาณ   0700322001410GN3 </t>
  </si>
  <si>
    <t xml:space="preserve">รหัสงบประมาณ   0700322001410GN4 </t>
  </si>
  <si>
    <t>ปรับปรุงคลองซอย 29.9L-RMC.กิ่วลม โครงการส่งน้ำ</t>
  </si>
  <si>
    <t xml:space="preserve">รหัสงบประมาณ   0700322001410GN5 </t>
  </si>
  <si>
    <t>ปรับปรุงทางระบายน้ำรับน้ำป่าเข้าคลอง RMC.กิ่วลม</t>
  </si>
  <si>
    <t>โครงการส่งน้ำและบำรุงรักษากิ่วลม-กิ่วคอหมา ต.บ้านแลง</t>
  </si>
  <si>
    <t>รหัสงบประมาณ   0700322001410GN6</t>
  </si>
  <si>
    <t>ปรับปรุงอาคารสะพานน้ำ(Flume)ท้ายอาคาร Canal Outlet</t>
  </si>
  <si>
    <t>รวมงบลงทุน (งานปรับปรุงฯ)</t>
  </si>
  <si>
    <t>รหัสงบประมาณ   0700322001420028</t>
  </si>
  <si>
    <t>ปรับปรุงคลอง RMC.กิ่วลม ระยะ 3 โครงการส่งน้ำและ</t>
  </si>
  <si>
    <t xml:space="preserve">รหัสงบประมาณ   0700322001420059 </t>
  </si>
  <si>
    <t>1.30</t>
  </si>
  <si>
    <t xml:space="preserve">ซ่อมแซมคลอง RMC.กิ่วลม กม.30+360-กม.38+850 </t>
  </si>
  <si>
    <t>รหัสงบประมาณ   0700322001410V04  (ขุดลอกคลองฯ)</t>
  </si>
  <si>
    <t>1.31</t>
  </si>
  <si>
    <t>ขุดลอกคลองโดยเรือขุด ดำเนินการเอง แม่น้ำวังบริเวณ</t>
  </si>
  <si>
    <t>พื้นที่ตกตะกอน อ่างเก็บน้ำเขื่อนกิ่วลม โครงการส่งน้ำและ</t>
  </si>
  <si>
    <t>บำรุงรักษากิ่วลม-กิ่วคอหมา ต.บ้านสา อ.แจ้ห่ม จ.ลำปาง</t>
  </si>
  <si>
    <t>6  พ.ย.58</t>
  </si>
  <si>
    <t>รวมงบลงทุน (การจัดการน้ำชลประทาน  ผลผลิตที่ 1)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</si>
  <si>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</si>
  <si>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</si>
  <si>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</si>
  <si>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</si>
  <si>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</si>
  <si>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</si>
  <si>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</si>
  <si>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</si>
  <si>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</si>
  <si>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</si>
  <si>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 xml:space="preserve">   5 ม.ค.58</t>
  </si>
  <si>
    <t>รายงานผลการเบิกจ่าย  โครงการส่งน้ำและบำรุงรักษากิ่วลม-กิ่วคอหมา  ณ วันที่  22  ม.ค.  2559</t>
  </si>
  <si>
    <t xml:space="preserve"> </t>
  </si>
  <si>
    <t>รวมงบกลาง  (พรบ.)</t>
  </si>
  <si>
    <t xml:space="preserve">รหัสงบประมาณ  90909730080000Z2 </t>
  </si>
  <si>
    <t>รายการเงินสำรองจ่ายเพื่อกรณีฉุกเฉินหรือจำเป็น</t>
  </si>
  <si>
    <t>กำจัดวัชพืชในเขื่อนกิ่วลม ต.บ้านสา อ.แจ้ห่ม จ.ลำปาง</t>
  </si>
  <si>
    <t>15 ก.ย.59</t>
  </si>
  <si>
    <t>กำจัดวัชพืชคลองส่งน้ำสายใหญ่กิ่วคอหมา กม.0+000-</t>
  </si>
  <si>
    <t>กม.3+200 ต.ปงดอน อ.แจ้ห่ม จ.ลำปาง</t>
  </si>
  <si>
    <t>รวมงบลงทุน (งานกำจัดวัชพืช)</t>
  </si>
  <si>
    <t>แผนงานสนับสนุนมาตรการกระตุ้นการลงทุนขนาดเล็กของรัฐบาลทั่วประเทศ</t>
  </si>
  <si>
    <t xml:space="preserve">รหัสงบประมาณ  90909730160100พษ </t>
  </si>
  <si>
    <t>ซ่อมแซมอาคารอัดน้ำกลางคลองส่งน้ำสายใหญ่ฝั่งซ้าย</t>
  </si>
  <si>
    <t>กิ่วคอหมา จำนวน 13 แห่ง ต.ปงดอน,แจ้ห่ม,บ้านสา,</t>
  </si>
  <si>
    <t>อ.แจ้ห่ม จ.ลำปาง</t>
  </si>
  <si>
    <t>ซ่อมแซมคอนกรีตดาดคลองซอย 20.0L ต.นิคมพัฒนา</t>
  </si>
  <si>
    <t>อ.เมือง จ.ลำปาง</t>
  </si>
  <si>
    <t xml:space="preserve">รหัสงบประมาณ  90909730160100พอ </t>
  </si>
  <si>
    <t>21 ก.ย.59</t>
  </si>
  <si>
    <t xml:space="preserve">รหัสงบประมาณ  90909730160100ฟ1 </t>
  </si>
  <si>
    <t>ซ่อมแซมระบบระบายน้ำบริเวณหัวงานเขื่อนกิ่วลม</t>
  </si>
  <si>
    <t>ต.บ้านแลง อ.เมือง จ.ลำปาง</t>
  </si>
  <si>
    <t xml:space="preserve">รหัสงบประมาณ  90909730160100ฟ2 </t>
  </si>
  <si>
    <t>ซ่อมแซมอาคารป้องกันการกัดเซาะตลิ่งฝั่งซ้ายบริเวณ</t>
  </si>
  <si>
    <t>หัวงานเขื่อนกิ่วลม กม.0+466 ต.บ้านแลง อ.เมือง จ.ลำปาง</t>
  </si>
  <si>
    <t xml:space="preserve">รหัสงบประมาณ  90909730160100ฟ3 </t>
  </si>
  <si>
    <t>ซ่อมแซมหินเรียงยาแนวลาด Slope บริเวณอาคารสลาย</t>
  </si>
  <si>
    <t>พลังงานเขื่อนกิ่วลม ต.บ้านแลง อ.เมือง จ.ลำปาง</t>
  </si>
  <si>
    <t xml:space="preserve">รหัสงบประมาณ  90909730160100ฟ4 </t>
  </si>
  <si>
    <t>ซ่อมแซมอาคารห้องน้ำสาธารณะ บริเวณหัวงานเขื่อน</t>
  </si>
  <si>
    <t>กิ่วลม จำนวน 2 หลัง ต.บ้านแลง อ.เมือง จ.ลำปาง</t>
  </si>
  <si>
    <t>รหัสงบประมาณ  90909730160100ฟ5</t>
  </si>
  <si>
    <t>ซ่อมแซมถนนภายในบริเวณหัวงานเขื่อนกิ่วลม ต.บ้านแลง</t>
  </si>
  <si>
    <t xml:space="preserve">รหัสงบประมาณ  90909730160100ฟ6 </t>
  </si>
  <si>
    <t xml:space="preserve">ซ่อมแซมถนนบนคันคลอง 15.2L-RMC.กิ่วลม </t>
  </si>
  <si>
    <t>ต.บุญนาคพัฒนา อ.เมือง จ.ลำปาง</t>
  </si>
  <si>
    <t xml:space="preserve">รหัสงบประมาณ  90909730160100ฟ8 </t>
  </si>
  <si>
    <t>ซ่อมแซมคอนกรีตดาดคลองซอย กม.1+600 และ กม.10+</t>
  </si>
  <si>
    <t>400 ต.บุญนาคพัฒนา,บ้านแลง อ.เมือง จ.ลำปาง</t>
  </si>
  <si>
    <t xml:space="preserve">รหัสงบประมาณ  90909730160100ฟJ </t>
  </si>
  <si>
    <t>ซ่อมแซมท่อส่งน้ำเข้านา RMC.กิ่วลม ระยะที่ 3 จำนวน</t>
  </si>
  <si>
    <t>6 แห่ง ต.ปงยางคก อ.ห้างฉัตร จ.ลำปาง</t>
  </si>
  <si>
    <t>รายงานผลการเบิกจ่าย  โครงการส่งน้ำและบำรุงรักษากิ่วลม-กิ่วคอหมา  ณ วันที่  30  ก.ย.  2559</t>
  </si>
  <si>
    <t>กำจัดวัชพืชภายในอ่างเก็บน้ำเขื่อนกิ่วลม โครงการส่งน้ำ</t>
  </si>
  <si>
    <t>และบำรุงรักษากิ่วลม-กิ่วคอหมา ต.บ้านแลง อ.เมืองลำปาง จ.ลำปาง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</si>
  <si>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</si>
  <si>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</si>
  <si>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</si>
  <si>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</si>
  <si>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กำจัดวัชพืชคลองระบายห้วยแม่ไพร โครงการส่งน้ำและ</t>
  </si>
  <si>
    <t>บำรุงรักษากิ่วลม-กิ่วคอหมา ต.หนองหล่ม อ.ห้างฉัตร จ.ลำปาง</t>
  </si>
  <si>
    <t>12 ต.ค.59</t>
  </si>
  <si>
    <t xml:space="preserve">รหัสงบประมาณ   0700338006410V88 </t>
  </si>
  <si>
    <t>บำรุงรักษากิ่วลม-กิ่วคอหมา ต.บ้านแลง อ.เมืองลำปาง จ.ลำปาง</t>
  </si>
  <si>
    <t xml:space="preserve">รหัสงบประมาณ   0700338006410V94 </t>
  </si>
  <si>
    <t>บริหารการส่งน้ำโครงการชลประทาน โครงการส่งน้ำและ</t>
  </si>
  <si>
    <t>บำรุงรักษากิ่วลม-กิ่วคอหมา จ.ลำปาง</t>
  </si>
  <si>
    <t xml:space="preserve">รหัสงบประมาณ   0700338006410603 </t>
  </si>
  <si>
    <t>13 ต.ค.59</t>
  </si>
  <si>
    <t>รหัสงบประมาณ   0700338006410286</t>
  </si>
  <si>
    <t>ซ่อมแซมคลอง RMC.กม.8+500 และคลองซอย กม.4+</t>
  </si>
  <si>
    <t>506 โครงการส่งน้ำและบำรุงรักษากิ่วลม-กิ่วคอหมา</t>
  </si>
  <si>
    <t>ต.บุญนาคพัฒนา อ.เมืองลำปาง จ.ลำปาง</t>
  </si>
  <si>
    <t>รหัสงบประมาณ   0700338006410604</t>
  </si>
  <si>
    <t>ซ่อมแซมคลอง RMC.กม.10+060 และคลองซอย กม.</t>
  </si>
  <si>
    <t>10+060 โครงการส่งน้ำและบำรุงรักษากิ่วลม-กิ่วคอหมา</t>
  </si>
  <si>
    <t>รหัสงบประมาณ   0700338006410606</t>
  </si>
  <si>
    <t xml:space="preserve">ส่งน้ำและบำรุงรักษากิ่วลม-กิ่วคอหมา ต.บ้านเป้า </t>
  </si>
  <si>
    <t>รหัสงบประมาณ   0700338006410288</t>
  </si>
  <si>
    <t>ซ่อมรางระบายน้ำ RMC.กิ่วลม กม.57+407 โครงการ</t>
  </si>
  <si>
    <t xml:space="preserve">ส่งน้ำและบำรุงรักษากิ่วลม-กิ่วคอหมา ต.ปงยางคก </t>
  </si>
  <si>
    <t>อ.ห้างฉัตร จ.ลำปาง</t>
  </si>
  <si>
    <t>รหัสงบประมาณ   0700338006410607</t>
  </si>
  <si>
    <t>รหัสงบประมาณ   0700338006410289</t>
  </si>
  <si>
    <t>กิ่วลมและบานระบายเขื่อนกิ่วคอหมา จำนวน 2 แห่ง</t>
  </si>
  <si>
    <t>รหัสงบประมาณ   0700338006410AS1  (ขุดลอกคลองฯ)</t>
  </si>
  <si>
    <t>ขุดลอกคลองโดยเรือขุด ดำเนินการเอง แม่น้ำวังท้ายเขื่อน</t>
  </si>
  <si>
    <t>ต.บ้านสา อ.แจ้ห่ม จ.ลำปาง</t>
  </si>
  <si>
    <t>รหัสงบประมาณ   0700338006410AZ8  (ขุดลอกคลองฯ)</t>
  </si>
  <si>
    <t>เขื่อนกิ่วคอหมา กม.14+000-กม.19+000 พร้อมขุดทอย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</si>
  <si>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</si>
  <si>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</si>
  <si>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</si>
  <si>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</si>
  <si>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</si>
  <si>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</si>
  <si>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</si>
  <si>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กม.7+604 และกม.9+106 โครงการส่งน้ำและบำรุงรักษา</t>
  </si>
  <si>
    <t>กิ่วลม-กิ่วคอหมา จ.ลำปาง</t>
  </si>
  <si>
    <t>รหัสงบประมาณ   0700341027410206</t>
  </si>
  <si>
    <t>ปรับปรุงอาคารบังคับน้ำกลางคลอง RMC.กิ่วลม กม.55+</t>
  </si>
  <si>
    <t>000-กม.67+000 จำนวน 2 แห่ง โครงการส่งน้ำและบำรุง</t>
  </si>
  <si>
    <t>รักษากิ่วลม-กิ่วคอหมา จ.ลำปาง</t>
  </si>
  <si>
    <t>รหัสงบประมาณ   0700341027420201</t>
  </si>
  <si>
    <t>ปรับปรุงคลองซอย 4 RMC.กิ่วคอหมา พร้อมอาคาร</t>
  </si>
  <si>
    <t>ประกอบ โครงการส่งน้ำและบำรุงรักษากิ่วลม-กิ่วคอหมา จ.ลำปาง</t>
  </si>
  <si>
    <t>รหัสงบประมาณ   0700341027420202</t>
  </si>
  <si>
    <t>ปรับปรุงเสริมขอบคอนกรีตคลองส่งน้ำ RMC.กิ่วลม</t>
  </si>
  <si>
    <t>กม.3+000 - กม.18+000 โครงการส่งน้ำและบำรุงรักษากิ่วลม-</t>
  </si>
  <si>
    <t>กิ่วคอหมา จ.ลำปาง</t>
  </si>
  <si>
    <t>รหัสงบประมาณ   0700341027420081</t>
  </si>
  <si>
    <t>ปรับปรุงคลองซอย 18.3L-RMC.กิ่วลม โครงการส่งน้ำ</t>
  </si>
  <si>
    <t>โครงการส่งน้ำและบำรุงรักษากิ่วลม-กิ่วคอหมา ต.ปงดอน อ.แจ้ห่ม จ.ลำปาง</t>
  </si>
  <si>
    <t>ซ่อมแซมรอยต่อคอนกรีตสะพานน้ำข้ามลำน้ำตุ๋ย โครงการ</t>
  </si>
  <si>
    <t>ซ่อมแซมคลองแยกซอย 16.6L-0.5L และคลองซอย 16.6L</t>
  </si>
  <si>
    <t>รหัสงบประมาณ   0700338006410287</t>
  </si>
  <si>
    <t>โครงการส่งน้ำและบำรุงรักษากิ่วลม-กิ่วคอหมา ต.นิคมพัฒนา</t>
  </si>
  <si>
    <t>1 พ.ย.59</t>
  </si>
  <si>
    <t>ซ่อมแซมอาคารป้องกันตลิ่งแม่น้ำวังท้ายเขื่อนกิ่วคอหมา</t>
  </si>
  <si>
    <t>กม.11+150-กม.11+350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</si>
  <si>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</si>
  <si>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0700338006410605</t>
  </si>
  <si>
    <t>1.18</t>
  </si>
  <si>
    <t>1.19</t>
  </si>
  <si>
    <t>ซ่อมแซมคอนกรีตดาดคลอง RMC.กิ่วลม กม.42+300-</t>
  </si>
  <si>
    <t>กม.52+000 โครงการส่งน้ำและบำรุงรักษากิ่วลม-กิ่วคอหมา</t>
  </si>
  <si>
    <t>ต.บ้านเป้า อ.เมืองลำปาง จ.ลำปาง</t>
  </si>
  <si>
    <t>21 พ.ย.59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</si>
  <si>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</si>
  <si>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0700338006410608</t>
  </si>
  <si>
    <t>24 พ.ย.59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</si>
  <si>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</si>
  <si>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</si>
  <si>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</si>
  <si>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และบำรุงรักษากิ่วลม-กิ่วคอหมา ต.บุญนาคพัฒนา อ.เมือง จ.ลำปาง</t>
  </si>
  <si>
    <t>2 ธ.ค.59</t>
  </si>
  <si>
    <t>รหัสงบประมาณ   0700338006410DE8 (กำจัดวัชพืช)</t>
  </si>
  <si>
    <t>บำรุงรักษากิ่วลม-กิ่วคอหมา ต.บุญนาคพัฒนา อ.เมือง จ.ลำปาง</t>
  </si>
  <si>
    <t>รหัสงบประมาณ   0700338006410DE9 (กำจัดวัชพืช)</t>
  </si>
  <si>
    <t>ขุดลอกคลองโดยรถขุด ดำเนินการเอง แม่น้ำวังท้ายเขื่อน</t>
  </si>
  <si>
    <t>รายงานผลการเบิกจ่าย  โครงการส่งน้ำและบำรุงรักษากิ่วลม-กิ่วคอหมา  ณ วันที่  13  ม.ค.  2560</t>
  </si>
  <si>
    <t xml:space="preserve">รหัสงบประมาณ  0700322001110407 </t>
  </si>
  <si>
    <t>แผนงานบริหารจัดการทรัพยากรน้ำ ผลผลิต การจัดการน้ำชลประทาน งบลงทุน ค่าครุภัณฑ์</t>
  </si>
  <si>
    <t>เครื่องคอมพิวเตอร์ชนิด Notebook แบบแยกคีย์บอร์ด</t>
  </si>
  <si>
    <t>จำนวน 1 ชุด (คุณลักษณะเลขที่ S1501-0599-0160)</t>
  </si>
  <si>
    <t>7 ธ.ค.59</t>
  </si>
  <si>
    <t>รายงานผลการเบิกจ่าย  โครงการส่งน้ำและบำรุงรักษากิ่วลม-กิ่วคอหมา  ณ วันที่  20  ม.ค.  2560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</si>
  <si>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</si>
  <si>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</si>
  <si>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ก่อสร้างฝายชะลอน้ำและเก็บกักน้ำถาวรพร้อมพนังป้องกัน</t>
  </si>
  <si>
    <t>ตลิ่งแม่วังด้านท้ายเขื่อนกิ่วลม จำนวน 3 แห่ง ต.บ้านแลง</t>
  </si>
  <si>
    <t>5 เม.ย.60</t>
  </si>
  <si>
    <t>รวมงบลงทุน  (พรบ.เพิ่มเติม)</t>
  </si>
  <si>
    <t>รหัสงบประมาณ   0700341029410063  (ขุดลอกคลองฯ)</t>
  </si>
  <si>
    <t>เพิ่มประสิทธิภาพระบายน้ำแม่น้ำวังด้านท้ายเขื่อน</t>
  </si>
  <si>
    <t>21 เม.ย.60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</si>
  <si>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</si>
  <si>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</si>
  <si>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</si>
  <si>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</si>
  <si>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รายงานผลการเบิกจ่าย  โครงการส่งน้ำและบำรุงรักษากิ่วลม-กิ่วคอหมา  ณ วันที่   30  ก.ย. 2560</t>
  </si>
  <si>
    <t>รายงานผลการเบิกจ่าย  โครงการส่งน้ำและบำรุงรักษากิ่วลม-กิ่วคอหมา  ณ วันที่   30  ก.ย. 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</si>
</sst>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72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8"/>
      <name val="Arial"/>
      <family val="2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1"/>
      <color indexed="10"/>
      <name val="Angsana New"/>
      <family val="1"/>
    </font>
    <font>
      <sz val="10"/>
      <color indexed="8"/>
      <name val="Angsana New"/>
      <family val="1"/>
    </font>
    <font>
      <sz val="9.5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2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b/>
      <u val="single"/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  <font>
      <b/>
      <u val="single"/>
      <sz val="12"/>
      <color rgb="FFC00000"/>
      <name val="Angsana New"/>
      <family val="1"/>
    </font>
    <font>
      <sz val="11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0" applyNumberFormat="0" applyBorder="0" applyAlignment="0" applyProtection="0"/>
    <xf numFmtId="0" fontId="57" fillId="21" borderId="3" applyNumberFormat="0" applyAlignment="0" applyProtection="0"/>
    <xf numFmtId="0" fontId="58" fillId="21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3" borderId="4" applyNumberFormat="0" applyAlignment="0" applyProtection="0"/>
    <xf numFmtId="0" fontId="64" fillId="24" borderId="0" applyNumberFormat="0" applyBorder="0" applyAlignment="0" applyProtection="0"/>
    <xf numFmtId="0" fontId="65" fillId="0" borderId="5" applyNumberFormat="0" applyFill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194" fontId="3" fillId="32" borderId="10" xfId="33" applyFont="1" applyFill="1" applyBorder="1" applyAlignment="1">
      <alignment/>
    </xf>
    <xf numFmtId="0" fontId="9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6" fillId="32" borderId="10" xfId="0" applyNumberFormat="1" applyFont="1" applyFill="1" applyBorder="1" applyAlignment="1">
      <alignment/>
    </xf>
    <xf numFmtId="194" fontId="6" fillId="32" borderId="10" xfId="0" applyNumberFormat="1" applyFont="1" applyFill="1" applyBorder="1" applyAlignment="1">
      <alignment/>
    </xf>
    <xf numFmtId="194" fontId="6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194" fontId="0" fillId="0" borderId="0" xfId="0" applyNumberFormat="1" applyAlignment="1">
      <alignment/>
    </xf>
    <xf numFmtId="49" fontId="10" fillId="32" borderId="1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204" fontId="10" fillId="32" borderId="10" xfId="33" applyNumberFormat="1" applyFont="1" applyFill="1" applyBorder="1" applyAlignment="1">
      <alignment horizontal="right"/>
    </xf>
    <xf numFmtId="204" fontId="10" fillId="32" borderId="10" xfId="33" applyNumberFormat="1" applyFont="1" applyFill="1" applyBorder="1" applyAlignment="1">
      <alignment horizontal="center"/>
    </xf>
    <xf numFmtId="194" fontId="10" fillId="32" borderId="10" xfId="33" applyFont="1" applyFill="1" applyBorder="1" applyAlignment="1">
      <alignment/>
    </xf>
    <xf numFmtId="204" fontId="10" fillId="32" borderId="11" xfId="33" applyNumberFormat="1" applyFont="1" applyFill="1" applyBorder="1" applyAlignment="1">
      <alignment horizontal="right"/>
    </xf>
    <xf numFmtId="204" fontId="10" fillId="32" borderId="11" xfId="33" applyNumberFormat="1" applyFont="1" applyFill="1" applyBorder="1" applyAlignment="1">
      <alignment horizontal="center"/>
    </xf>
    <xf numFmtId="194" fontId="10" fillId="32" borderId="11" xfId="33" applyFont="1" applyFill="1" applyBorder="1" applyAlignment="1">
      <alignment/>
    </xf>
    <xf numFmtId="0" fontId="13" fillId="32" borderId="10" xfId="0" applyFont="1" applyFill="1" applyBorder="1" applyAlignment="1">
      <alignment horizontal="right"/>
    </xf>
    <xf numFmtId="49" fontId="10" fillId="32" borderId="14" xfId="0" applyNumberFormat="1" applyFont="1" applyFill="1" applyBorder="1" applyAlignment="1">
      <alignment horizontal="center"/>
    </xf>
    <xf numFmtId="204" fontId="10" fillId="32" borderId="14" xfId="33" applyNumberFormat="1" applyFont="1" applyFill="1" applyBorder="1" applyAlignment="1">
      <alignment horizontal="right"/>
    </xf>
    <xf numFmtId="204" fontId="10" fillId="32" borderId="14" xfId="33" applyNumberFormat="1" applyFont="1" applyFill="1" applyBorder="1" applyAlignment="1">
      <alignment horizontal="center"/>
    </xf>
    <xf numFmtId="194" fontId="10" fillId="32" borderId="14" xfId="33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49" fontId="10" fillId="32" borderId="15" xfId="0" applyNumberFormat="1" applyFont="1" applyFill="1" applyBorder="1" applyAlignment="1">
      <alignment horizontal="center"/>
    </xf>
    <xf numFmtId="204" fontId="10" fillId="32" borderId="15" xfId="33" applyNumberFormat="1" applyFont="1" applyFill="1" applyBorder="1" applyAlignment="1">
      <alignment horizontal="right"/>
    </xf>
    <xf numFmtId="204" fontId="10" fillId="32" borderId="15" xfId="33" applyNumberFormat="1" applyFont="1" applyFill="1" applyBorder="1" applyAlignment="1">
      <alignment horizontal="center"/>
    </xf>
    <xf numFmtId="194" fontId="10" fillId="32" borderId="15" xfId="33" applyFont="1" applyFill="1" applyBorder="1" applyAlignment="1">
      <alignment/>
    </xf>
    <xf numFmtId="194" fontId="10" fillId="32" borderId="13" xfId="33" applyFont="1" applyFill="1" applyBorder="1" applyAlignment="1">
      <alignment/>
    </xf>
    <xf numFmtId="194" fontId="3" fillId="32" borderId="11" xfId="33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3" fillId="32" borderId="17" xfId="0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204" fontId="10" fillId="32" borderId="17" xfId="33" applyNumberFormat="1" applyFont="1" applyFill="1" applyBorder="1" applyAlignment="1">
      <alignment horizontal="right"/>
    </xf>
    <xf numFmtId="204" fontId="10" fillId="32" borderId="17" xfId="33" applyNumberFormat="1" applyFont="1" applyFill="1" applyBorder="1" applyAlignment="1">
      <alignment horizontal="center"/>
    </xf>
    <xf numFmtId="194" fontId="10" fillId="32" borderId="17" xfId="33" applyFont="1" applyFill="1" applyBorder="1" applyAlignment="1">
      <alignment/>
    </xf>
    <xf numFmtId="194" fontId="10" fillId="32" borderId="16" xfId="33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7" xfId="0" applyFont="1" applyFill="1" applyBorder="1" applyAlignment="1">
      <alignment horizontal="right"/>
    </xf>
    <xf numFmtId="194" fontId="3" fillId="32" borderId="17" xfId="33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right"/>
    </xf>
    <xf numFmtId="0" fontId="13" fillId="32" borderId="14" xfId="0" applyFont="1" applyFill="1" applyBorder="1" applyAlignment="1">
      <alignment horizontal="right"/>
    </xf>
    <xf numFmtId="0" fontId="11" fillId="32" borderId="13" xfId="0" applyFont="1" applyFill="1" applyBorder="1" applyAlignment="1">
      <alignment/>
    </xf>
    <xf numFmtId="194" fontId="15" fillId="18" borderId="11" xfId="0" applyNumberFormat="1" applyFont="1" applyFill="1" applyBorder="1" applyAlignment="1">
      <alignment/>
    </xf>
    <xf numFmtId="204" fontId="15" fillId="18" borderId="11" xfId="0" applyNumberFormat="1" applyFont="1" applyFill="1" applyBorder="1" applyAlignment="1">
      <alignment/>
    </xf>
    <xf numFmtId="194" fontId="15" fillId="18" borderId="11" xfId="33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194" fontId="3" fillId="32" borderId="15" xfId="33" applyFont="1" applyFill="1" applyBorder="1" applyAlignment="1">
      <alignment/>
    </xf>
    <xf numFmtId="0" fontId="16" fillId="32" borderId="17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204" fontId="6" fillId="32" borderId="10" xfId="0" applyNumberFormat="1" applyFont="1" applyFill="1" applyBorder="1" applyAlignment="1">
      <alignment horizontal="right"/>
    </xf>
    <xf numFmtId="194" fontId="11" fillId="32" borderId="10" xfId="33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94" fontId="17" fillId="32" borderId="10" xfId="33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204" fontId="10" fillId="32" borderId="16" xfId="33" applyNumberFormat="1" applyFont="1" applyFill="1" applyBorder="1" applyAlignment="1">
      <alignment horizontal="right"/>
    </xf>
    <xf numFmtId="204" fontId="10" fillId="32" borderId="16" xfId="33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32" borderId="16" xfId="0" applyFont="1" applyFill="1" applyBorder="1" applyAlignment="1">
      <alignment/>
    </xf>
    <xf numFmtId="204" fontId="6" fillId="32" borderId="16" xfId="0" applyNumberFormat="1" applyFont="1" applyFill="1" applyBorder="1" applyAlignment="1">
      <alignment horizontal="right"/>
    </xf>
    <xf numFmtId="204" fontId="6" fillId="32" borderId="16" xfId="0" applyNumberFormat="1" applyFont="1" applyFill="1" applyBorder="1" applyAlignment="1">
      <alignment/>
    </xf>
    <xf numFmtId="194" fontId="6" fillId="32" borderId="16" xfId="0" applyNumberFormat="1" applyFont="1" applyFill="1" applyBorder="1" applyAlignment="1">
      <alignment/>
    </xf>
    <xf numFmtId="194" fontId="11" fillId="32" borderId="16" xfId="33" applyFont="1" applyFill="1" applyBorder="1" applyAlignment="1">
      <alignment/>
    </xf>
    <xf numFmtId="194" fontId="6" fillId="32" borderId="16" xfId="33" applyFont="1" applyFill="1" applyBorder="1" applyAlignment="1">
      <alignment/>
    </xf>
    <xf numFmtId="204" fontId="11" fillId="32" borderId="14" xfId="33" applyNumberFormat="1" applyFont="1" applyFill="1" applyBorder="1" applyAlignment="1">
      <alignment horizontal="right"/>
    </xf>
    <xf numFmtId="204" fontId="11" fillId="32" borderId="14" xfId="33" applyNumberFormat="1" applyFont="1" applyFill="1" applyBorder="1" applyAlignment="1">
      <alignment horizontal="center"/>
    </xf>
    <xf numFmtId="194" fontId="11" fillId="32" borderId="14" xfId="33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204" fontId="6" fillId="32" borderId="14" xfId="0" applyNumberFormat="1" applyFont="1" applyFill="1" applyBorder="1" applyAlignment="1">
      <alignment horizontal="right"/>
    </xf>
    <xf numFmtId="204" fontId="6" fillId="32" borderId="14" xfId="0" applyNumberFormat="1" applyFont="1" applyFill="1" applyBorder="1" applyAlignment="1">
      <alignment/>
    </xf>
    <xf numFmtId="194" fontId="6" fillId="32" borderId="14" xfId="0" applyNumberFormat="1" applyFont="1" applyFill="1" applyBorder="1" applyAlignment="1">
      <alignment/>
    </xf>
    <xf numFmtId="194" fontId="6" fillId="32" borderId="14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6" fillId="33" borderId="10" xfId="33" applyNumberFormat="1" applyFont="1" applyFill="1" applyBorder="1" applyAlignment="1">
      <alignment horizontal="right"/>
    </xf>
    <xf numFmtId="204" fontId="6" fillId="33" borderId="10" xfId="33" applyNumberFormat="1" applyFont="1" applyFill="1" applyBorder="1" applyAlignment="1">
      <alignment horizontal="center"/>
    </xf>
    <xf numFmtId="194" fontId="6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6" fillId="33" borderId="11" xfId="0" applyNumberFormat="1" applyFont="1" applyFill="1" applyBorder="1" applyAlignment="1">
      <alignment horizontal="right"/>
    </xf>
    <xf numFmtId="204" fontId="6" fillId="33" borderId="11" xfId="0" applyNumberFormat="1" applyFont="1" applyFill="1" applyBorder="1" applyAlignment="1">
      <alignment/>
    </xf>
    <xf numFmtId="194" fontId="6" fillId="33" borderId="11" xfId="0" applyNumberFormat="1" applyFont="1" applyFill="1" applyBorder="1" applyAlignment="1">
      <alignment/>
    </xf>
    <xf numFmtId="194" fontId="6" fillId="33" borderId="11" xfId="33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04" fontId="6" fillId="33" borderId="14" xfId="0" applyNumberFormat="1" applyFont="1" applyFill="1" applyBorder="1" applyAlignment="1">
      <alignment horizontal="right"/>
    </xf>
    <xf numFmtId="204" fontId="6" fillId="33" borderId="14" xfId="0" applyNumberFormat="1" applyFont="1" applyFill="1" applyBorder="1" applyAlignment="1">
      <alignment/>
    </xf>
    <xf numFmtId="194" fontId="6" fillId="33" borderId="14" xfId="0" applyNumberFormat="1" applyFont="1" applyFill="1" applyBorder="1" applyAlignment="1">
      <alignment/>
    </xf>
    <xf numFmtId="194" fontId="6" fillId="33" borderId="14" xfId="33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6" fillId="33" borderId="10" xfId="0" applyNumberFormat="1" applyFont="1" applyFill="1" applyBorder="1" applyAlignment="1">
      <alignment horizontal="right"/>
    </xf>
    <xf numFmtId="204" fontId="6" fillId="33" borderId="10" xfId="0" applyNumberFormat="1" applyFont="1" applyFill="1" applyBorder="1" applyAlignment="1">
      <alignment/>
    </xf>
    <xf numFmtId="194" fontId="6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32" borderId="16" xfId="0" applyFont="1" applyFill="1" applyBorder="1" applyAlignment="1">
      <alignment/>
    </xf>
    <xf numFmtId="0" fontId="69" fillId="0" borderId="0" xfId="0" applyFont="1" applyAlignment="1">
      <alignment horizontal="left"/>
    </xf>
    <xf numFmtId="194" fontId="17" fillId="32" borderId="11" xfId="33" applyFont="1" applyFill="1" applyBorder="1" applyAlignment="1">
      <alignment/>
    </xf>
    <xf numFmtId="0" fontId="14" fillId="32" borderId="11" xfId="0" applyFont="1" applyFill="1" applyBorder="1" applyAlignment="1">
      <alignment horizontal="left"/>
    </xf>
    <xf numFmtId="0" fontId="70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204" fontId="15" fillId="34" borderId="10" xfId="0" applyNumberFormat="1" applyFont="1" applyFill="1" applyBorder="1" applyAlignment="1">
      <alignment horizontal="right"/>
    </xf>
    <xf numFmtId="194" fontId="15" fillId="34" borderId="10" xfId="0" applyNumberFormat="1" applyFont="1" applyFill="1" applyBorder="1" applyAlignment="1">
      <alignment/>
    </xf>
    <xf numFmtId="204" fontId="6" fillId="34" borderId="10" xfId="0" applyNumberFormat="1" applyFont="1" applyFill="1" applyBorder="1" applyAlignment="1">
      <alignment horizontal="right"/>
    </xf>
    <xf numFmtId="194" fontId="6" fillId="34" borderId="10" xfId="0" applyNumberFormat="1" applyFont="1" applyFill="1" applyBorder="1" applyAlignment="1">
      <alignment/>
    </xf>
    <xf numFmtId="194" fontId="6" fillId="34" borderId="10" xfId="33" applyFont="1" applyFill="1" applyBorder="1" applyAlignment="1">
      <alignment/>
    </xf>
    <xf numFmtId="194" fontId="17" fillId="32" borderId="14" xfId="33" applyFont="1" applyFill="1" applyBorder="1" applyAlignment="1">
      <alignment/>
    </xf>
    <xf numFmtId="194" fontId="17" fillId="32" borderId="13" xfId="33" applyFont="1" applyFill="1" applyBorder="1" applyAlignment="1">
      <alignment/>
    </xf>
    <xf numFmtId="194" fontId="15" fillId="33" borderId="10" xfId="33" applyFont="1" applyFill="1" applyBorder="1" applyAlignment="1">
      <alignment/>
    </xf>
    <xf numFmtId="194" fontId="15" fillId="33" borderId="14" xfId="33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19" fillId="32" borderId="16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204" fontId="6" fillId="35" borderId="10" xfId="33" applyNumberFormat="1" applyFont="1" applyFill="1" applyBorder="1" applyAlignment="1">
      <alignment horizontal="right"/>
    </xf>
    <xf numFmtId="204" fontId="6" fillId="35" borderId="10" xfId="33" applyNumberFormat="1" applyFont="1" applyFill="1" applyBorder="1" applyAlignment="1">
      <alignment horizontal="center"/>
    </xf>
    <xf numFmtId="194" fontId="6" fillId="35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0" fontId="71" fillId="32" borderId="11" xfId="0" applyFont="1" applyFill="1" applyBorder="1" applyAlignment="1">
      <alignment horizontal="right"/>
    </xf>
    <xf numFmtId="204" fontId="3" fillId="35" borderId="10" xfId="33" applyNumberFormat="1" applyFont="1" applyFill="1" applyBorder="1" applyAlignment="1">
      <alignment horizontal="right"/>
    </xf>
    <xf numFmtId="204" fontId="3" fillId="35" borderId="10" xfId="33" applyNumberFormat="1" applyFont="1" applyFill="1" applyBorder="1" applyAlignment="1">
      <alignment horizontal="center"/>
    </xf>
    <xf numFmtId="194" fontId="3" fillId="35" borderId="10" xfId="33" applyFon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2" borderId="14" xfId="0" applyFont="1" applyFill="1" applyBorder="1" applyAlignment="1">
      <alignment horizontal="right"/>
    </xf>
    <xf numFmtId="194" fontId="3" fillId="32" borderId="14" xfId="33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204" fontId="6" fillId="35" borderId="11" xfId="33" applyNumberFormat="1" applyFont="1" applyFill="1" applyBorder="1" applyAlignment="1">
      <alignment horizontal="right"/>
    </xf>
    <xf numFmtId="204" fontId="6" fillId="35" borderId="11" xfId="33" applyNumberFormat="1" applyFont="1" applyFill="1" applyBorder="1" applyAlignment="1">
      <alignment horizontal="center"/>
    </xf>
    <xf numFmtId="194" fontId="6" fillId="35" borderId="11" xfId="33" applyFont="1" applyFill="1" applyBorder="1" applyAlignment="1">
      <alignment/>
    </xf>
    <xf numFmtId="49" fontId="3" fillId="35" borderId="16" xfId="0" applyNumberFormat="1" applyFont="1" applyFill="1" applyBorder="1" applyAlignment="1">
      <alignment horizontal="center"/>
    </xf>
    <xf numFmtId="194" fontId="6" fillId="35" borderId="16" xfId="33" applyFont="1" applyFill="1" applyBorder="1" applyAlignment="1">
      <alignment/>
    </xf>
    <xf numFmtId="0" fontId="3" fillId="35" borderId="16" xfId="0" applyFont="1" applyFill="1" applyBorder="1" applyAlignment="1">
      <alignment/>
    </xf>
    <xf numFmtId="204" fontId="6" fillId="35" borderId="16" xfId="0" applyNumberFormat="1" applyFont="1" applyFill="1" applyBorder="1" applyAlignment="1">
      <alignment horizontal="right"/>
    </xf>
    <xf numFmtId="204" fontId="6" fillId="35" borderId="16" xfId="0" applyNumberFormat="1" applyFont="1" applyFill="1" applyBorder="1" applyAlignment="1">
      <alignment/>
    </xf>
    <xf numFmtId="194" fontId="6" fillId="35" borderId="16" xfId="0" applyNumberFormat="1" applyFont="1" applyFill="1" applyBorder="1" applyAlignment="1">
      <alignment/>
    </xf>
    <xf numFmtId="194" fontId="15" fillId="35" borderId="16" xfId="33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3" fillId="32" borderId="16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204" fontId="6" fillId="34" borderId="10" xfId="0" applyNumberFormat="1" applyFont="1" applyFill="1" applyBorder="1" applyAlignment="1">
      <alignment/>
    </xf>
    <xf numFmtId="194" fontId="15" fillId="34" borderId="10" xfId="33" applyFont="1" applyFill="1" applyBorder="1" applyAlignment="1">
      <alignment/>
    </xf>
    <xf numFmtId="0" fontId="6" fillId="32" borderId="14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204" fontId="3" fillId="35" borderId="16" xfId="33" applyNumberFormat="1" applyFont="1" applyFill="1" applyBorder="1" applyAlignment="1">
      <alignment horizontal="right"/>
    </xf>
    <xf numFmtId="204" fontId="3" fillId="35" borderId="16" xfId="33" applyNumberFormat="1" applyFont="1" applyFill="1" applyBorder="1" applyAlignment="1">
      <alignment horizontal="center"/>
    </xf>
    <xf numFmtId="194" fontId="3" fillId="35" borderId="16" xfId="33" applyFont="1" applyFill="1" applyBorder="1" applyAlignment="1">
      <alignment/>
    </xf>
    <xf numFmtId="194" fontId="6" fillId="18" borderId="11" xfId="0" applyNumberFormat="1" applyFont="1" applyFill="1" applyBorder="1" applyAlignment="1">
      <alignment/>
    </xf>
    <xf numFmtId="194" fontId="14" fillId="35" borderId="10" xfId="33" applyFont="1" applyFill="1" applyBorder="1" applyAlignment="1">
      <alignment/>
    </xf>
    <xf numFmtId="0" fontId="21" fillId="0" borderId="0" xfId="0" applyFont="1" applyAlignment="1">
      <alignment/>
    </xf>
    <xf numFmtId="0" fontId="22" fillId="5" borderId="12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4" fillId="18" borderId="11" xfId="0" applyFont="1" applyFill="1" applyBorder="1" applyAlignment="1">
      <alignment/>
    </xf>
    <xf numFmtId="0" fontId="22" fillId="18" borderId="11" xfId="0" applyFont="1" applyFill="1" applyBorder="1" applyAlignment="1">
      <alignment/>
    </xf>
    <xf numFmtId="204" fontId="25" fillId="18" borderId="11" xfId="0" applyNumberFormat="1" applyFont="1" applyFill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18" borderId="11" xfId="33" applyFont="1" applyFill="1" applyBorder="1" applyAlignment="1">
      <alignment/>
    </xf>
    <xf numFmtId="0" fontId="22" fillId="32" borderId="11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22" fillId="32" borderId="11" xfId="0" applyFont="1" applyFill="1" applyBorder="1" applyAlignment="1">
      <alignment horizontal="right"/>
    </xf>
    <xf numFmtId="194" fontId="22" fillId="32" borderId="11" xfId="33" applyFont="1" applyFill="1" applyBorder="1" applyAlignment="1">
      <alignment/>
    </xf>
    <xf numFmtId="0" fontId="27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49" fontId="22" fillId="35" borderId="10" xfId="0" applyNumberFormat="1" applyFont="1" applyFill="1" applyBorder="1" applyAlignment="1">
      <alignment horizontal="center"/>
    </xf>
    <xf numFmtId="204" fontId="22" fillId="35" borderId="10" xfId="33" applyNumberFormat="1" applyFont="1" applyFill="1" applyBorder="1" applyAlignment="1">
      <alignment horizontal="right"/>
    </xf>
    <xf numFmtId="204" fontId="22" fillId="35" borderId="10" xfId="33" applyNumberFormat="1" applyFont="1" applyFill="1" applyBorder="1" applyAlignment="1">
      <alignment horizontal="center"/>
    </xf>
    <xf numFmtId="194" fontId="22" fillId="35" borderId="10" xfId="33" applyFont="1" applyFill="1" applyBorder="1" applyAlignment="1">
      <alignment/>
    </xf>
    <xf numFmtId="194" fontId="28" fillId="35" borderId="10" xfId="33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11" xfId="0" applyFont="1" applyFill="1" applyBorder="1" applyAlignment="1">
      <alignment horizontal="right"/>
    </xf>
    <xf numFmtId="194" fontId="22" fillId="35" borderId="11" xfId="33" applyFont="1" applyFill="1" applyBorder="1" applyAlignment="1">
      <alignment/>
    </xf>
    <xf numFmtId="0" fontId="29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204" fontId="29" fillId="34" borderId="10" xfId="0" applyNumberFormat="1" applyFont="1" applyFill="1" applyBorder="1" applyAlignment="1">
      <alignment horizontal="right"/>
    </xf>
    <xf numFmtId="204" fontId="29" fillId="34" borderId="10" xfId="0" applyNumberFormat="1" applyFont="1" applyFill="1" applyBorder="1" applyAlignment="1">
      <alignment/>
    </xf>
    <xf numFmtId="194" fontId="29" fillId="34" borderId="10" xfId="0" applyNumberFormat="1" applyFont="1" applyFill="1" applyBorder="1" applyAlignment="1">
      <alignment/>
    </xf>
    <xf numFmtId="194" fontId="25" fillId="34" borderId="10" xfId="33" applyFont="1" applyFill="1" applyBorder="1" applyAlignment="1">
      <alignment/>
    </xf>
    <xf numFmtId="194" fontId="29" fillId="34" borderId="10" xfId="33" applyFont="1" applyFill="1" applyBorder="1" applyAlignment="1">
      <alignment/>
    </xf>
    <xf numFmtId="0" fontId="22" fillId="32" borderId="14" xfId="0" applyFont="1" applyFill="1" applyBorder="1" applyAlignment="1">
      <alignment horizontal="center"/>
    </xf>
    <xf numFmtId="0" fontId="22" fillId="32" borderId="14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right"/>
    </xf>
    <xf numFmtId="194" fontId="22" fillId="35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7" fillId="32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7" xfId="0" applyFont="1" applyFill="1" applyBorder="1" applyAlignment="1">
      <alignment horizontal="right"/>
    </xf>
    <xf numFmtId="194" fontId="22" fillId="35" borderId="17" xfId="33" applyFont="1" applyFill="1" applyBorder="1" applyAlignment="1">
      <alignment/>
    </xf>
    <xf numFmtId="2" fontId="22" fillId="32" borderId="11" xfId="0" applyNumberFormat="1" applyFont="1" applyFill="1" applyBorder="1" applyAlignment="1">
      <alignment horizontal="center"/>
    </xf>
    <xf numFmtId="194" fontId="25" fillId="34" borderId="10" xfId="0" applyNumberFormat="1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204" fontId="29" fillId="32" borderId="14" xfId="0" applyNumberFormat="1" applyFont="1" applyFill="1" applyBorder="1" applyAlignment="1">
      <alignment horizontal="right"/>
    </xf>
    <xf numFmtId="204" fontId="29" fillId="32" borderId="14" xfId="0" applyNumberFormat="1" applyFont="1" applyFill="1" applyBorder="1" applyAlignment="1">
      <alignment/>
    </xf>
    <xf numFmtId="194" fontId="29" fillId="32" borderId="14" xfId="0" applyNumberFormat="1" applyFont="1" applyFill="1" applyBorder="1" applyAlignment="1">
      <alignment/>
    </xf>
    <xf numFmtId="194" fontId="29" fillId="32" borderId="14" xfId="33" applyFont="1" applyFill="1" applyBorder="1" applyAlignment="1">
      <alignment/>
    </xf>
    <xf numFmtId="0" fontId="20" fillId="0" borderId="0" xfId="0" applyFont="1" applyAlignment="1">
      <alignment/>
    </xf>
    <xf numFmtId="204" fontId="28" fillId="35" borderId="10" xfId="33" applyNumberFormat="1" applyFont="1" applyFill="1" applyBorder="1" applyAlignment="1">
      <alignment horizontal="center"/>
    </xf>
    <xf numFmtId="204" fontId="25" fillId="34" borderId="10" xfId="0" applyNumberFormat="1" applyFont="1" applyFill="1" applyBorder="1" applyAlignment="1">
      <alignment horizontal="right"/>
    </xf>
    <xf numFmtId="204" fontId="25" fillId="34" borderId="10" xfId="0" applyNumberFormat="1" applyFont="1" applyFill="1" applyBorder="1" applyAlignment="1">
      <alignment/>
    </xf>
    <xf numFmtId="0" fontId="28" fillId="35" borderId="11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28" fillId="35" borderId="17" xfId="0" applyFont="1" applyFill="1" applyBorder="1" applyAlignment="1">
      <alignment/>
    </xf>
    <xf numFmtId="0" fontId="22" fillId="32" borderId="16" xfId="0" applyFont="1" applyFill="1" applyBorder="1" applyAlignment="1">
      <alignment horizontal="center"/>
    </xf>
    <xf numFmtId="0" fontId="30" fillId="32" borderId="16" xfId="0" applyFont="1" applyFill="1" applyBorder="1" applyAlignment="1">
      <alignment/>
    </xf>
    <xf numFmtId="0" fontId="22" fillId="32" borderId="16" xfId="0" applyFont="1" applyFill="1" applyBorder="1" applyAlignment="1">
      <alignment/>
    </xf>
    <xf numFmtId="194" fontId="25" fillId="35" borderId="10" xfId="33" applyFont="1" applyFill="1" applyBorder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5" fontId="22" fillId="32" borderId="11" xfId="0" applyNumberFormat="1" applyFont="1" applyFill="1" applyBorder="1" applyAlignment="1">
      <alignment horizontal="center"/>
    </xf>
    <xf numFmtId="204" fontId="22" fillId="32" borderId="10" xfId="0" applyNumberFormat="1" applyFont="1" applyFill="1" applyBorder="1" applyAlignment="1">
      <alignment horizontal="right"/>
    </xf>
    <xf numFmtId="0" fontId="28" fillId="32" borderId="10" xfId="0" applyFont="1" applyFill="1" applyBorder="1" applyAlignment="1">
      <alignment/>
    </xf>
    <xf numFmtId="0" fontId="29" fillId="32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204" fontId="29" fillId="33" borderId="10" xfId="0" applyNumberFormat="1" applyFont="1" applyFill="1" applyBorder="1" applyAlignment="1">
      <alignment horizontal="right"/>
    </xf>
    <xf numFmtId="204" fontId="29" fillId="33" borderId="10" xfId="0" applyNumberFormat="1" applyFont="1" applyFill="1" applyBorder="1" applyAlignment="1">
      <alignment/>
    </xf>
    <xf numFmtId="194" fontId="29" fillId="33" borderId="10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9" fillId="33" borderId="10" xfId="33" applyFont="1" applyFill="1" applyBorder="1" applyAlignment="1">
      <alignment/>
    </xf>
    <xf numFmtId="194" fontId="25" fillId="33" borderId="10" xfId="0" applyNumberFormat="1" applyFont="1" applyFill="1" applyBorder="1" applyAlignment="1">
      <alignment/>
    </xf>
    <xf numFmtId="0" fontId="22" fillId="35" borderId="16" xfId="0" applyFont="1" applyFill="1" applyBorder="1" applyAlignment="1">
      <alignment/>
    </xf>
    <xf numFmtId="204" fontId="29" fillId="35" borderId="16" xfId="0" applyNumberFormat="1" applyFont="1" applyFill="1" applyBorder="1" applyAlignment="1">
      <alignment horizontal="right"/>
    </xf>
    <xf numFmtId="204" fontId="29" fillId="35" borderId="16" xfId="0" applyNumberFormat="1" applyFont="1" applyFill="1" applyBorder="1" applyAlignment="1">
      <alignment/>
    </xf>
    <xf numFmtId="194" fontId="29" fillId="35" borderId="16" xfId="0" applyNumberFormat="1" applyFont="1" applyFill="1" applyBorder="1" applyAlignment="1">
      <alignment/>
    </xf>
    <xf numFmtId="194" fontId="25" fillId="35" borderId="16" xfId="33" applyFont="1" applyFill="1" applyBorder="1" applyAlignment="1">
      <alignment/>
    </xf>
    <xf numFmtId="194" fontId="29" fillId="35" borderId="16" xfId="33" applyFont="1" applyFill="1" applyBorder="1" applyAlignment="1">
      <alignment/>
    </xf>
    <xf numFmtId="0" fontId="22" fillId="32" borderId="17" xfId="0" applyFont="1" applyFill="1" applyBorder="1" applyAlignment="1">
      <alignment horizontal="left"/>
    </xf>
    <xf numFmtId="204" fontId="29" fillId="35" borderId="17" xfId="0" applyNumberFormat="1" applyFont="1" applyFill="1" applyBorder="1" applyAlignment="1">
      <alignment horizontal="right"/>
    </xf>
    <xf numFmtId="204" fontId="29" fillId="35" borderId="17" xfId="0" applyNumberFormat="1" applyFont="1" applyFill="1" applyBorder="1" applyAlignment="1">
      <alignment/>
    </xf>
    <xf numFmtId="194" fontId="29" fillId="35" borderId="17" xfId="0" applyNumberFormat="1" applyFont="1" applyFill="1" applyBorder="1" applyAlignment="1">
      <alignment/>
    </xf>
    <xf numFmtId="194" fontId="25" fillId="35" borderId="17" xfId="33" applyFont="1" applyFill="1" applyBorder="1" applyAlignment="1">
      <alignment/>
    </xf>
    <xf numFmtId="194" fontId="29" fillId="35" borderId="17" xfId="33" applyFont="1" applyFill="1" applyBorder="1" applyAlignment="1">
      <alignment/>
    </xf>
    <xf numFmtId="49" fontId="22" fillId="32" borderId="11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204" fontId="29" fillId="35" borderId="10" xfId="0" applyNumberFormat="1" applyFont="1" applyFill="1" applyBorder="1" applyAlignment="1">
      <alignment horizontal="right"/>
    </xf>
    <xf numFmtId="204" fontId="29" fillId="35" borderId="10" xfId="0" applyNumberFormat="1" applyFont="1" applyFill="1" applyBorder="1" applyAlignment="1">
      <alignment/>
    </xf>
    <xf numFmtId="194" fontId="29" fillId="35" borderId="10" xfId="0" applyNumberFormat="1" applyFont="1" applyFill="1" applyBorder="1" applyAlignment="1">
      <alignment/>
    </xf>
    <xf numFmtId="194" fontId="29" fillId="35" borderId="10" xfId="33" applyFont="1" applyFill="1" applyBorder="1" applyAlignment="1">
      <alignment/>
    </xf>
    <xf numFmtId="0" fontId="28" fillId="32" borderId="17" xfId="0" applyFont="1" applyFill="1" applyBorder="1" applyAlignment="1">
      <alignment horizontal="left"/>
    </xf>
    <xf numFmtId="0" fontId="21" fillId="0" borderId="18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204" fontId="22" fillId="33" borderId="10" xfId="33" applyNumberFormat="1" applyFont="1" applyFill="1" applyBorder="1" applyAlignment="1">
      <alignment horizontal="right"/>
    </xf>
    <xf numFmtId="204" fontId="22" fillId="33" borderId="10" xfId="33" applyNumberFormat="1" applyFont="1" applyFill="1" applyBorder="1" applyAlignment="1">
      <alignment horizontal="center"/>
    </xf>
    <xf numFmtId="194" fontId="22" fillId="33" borderId="10" xfId="33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5" fillId="35" borderId="17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94" fontId="32" fillId="18" borderId="11" xfId="0" applyNumberFormat="1" applyFont="1" applyFill="1" applyBorder="1" applyAlignment="1">
      <alignment/>
    </xf>
    <xf numFmtId="194" fontId="32" fillId="33" borderId="10" xfId="33" applyFont="1" applyFill="1" applyBorder="1" applyAlignment="1">
      <alignment/>
    </xf>
    <xf numFmtId="0" fontId="28" fillId="32" borderId="16" xfId="0" applyFont="1" applyFill="1" applyBorder="1" applyAlignment="1">
      <alignment/>
    </xf>
    <xf numFmtId="194" fontId="28" fillId="33" borderId="10" xfId="33" applyFont="1" applyFill="1" applyBorder="1" applyAlignment="1">
      <alignment/>
    </xf>
    <xf numFmtId="204" fontId="25" fillId="33" borderId="10" xfId="0" applyNumberFormat="1" applyFont="1" applyFill="1" applyBorder="1" applyAlignment="1">
      <alignment/>
    </xf>
    <xf numFmtId="194" fontId="32" fillId="18" borderId="11" xfId="33" applyFont="1" applyFill="1" applyBorder="1" applyAlignment="1">
      <alignment/>
    </xf>
    <xf numFmtId="0" fontId="29" fillId="32" borderId="14" xfId="0" applyFont="1" applyFill="1" applyBorder="1" applyAlignment="1">
      <alignment horizontal="right"/>
    </xf>
    <xf numFmtId="0" fontId="22" fillId="33" borderId="14" xfId="0" applyFont="1" applyFill="1" applyBorder="1" applyAlignment="1">
      <alignment/>
    </xf>
    <xf numFmtId="204" fontId="29" fillId="33" borderId="14" xfId="0" applyNumberFormat="1" applyFont="1" applyFill="1" applyBorder="1" applyAlignment="1">
      <alignment horizontal="right"/>
    </xf>
    <xf numFmtId="204" fontId="29" fillId="33" borderId="14" xfId="0" applyNumberFormat="1" applyFont="1" applyFill="1" applyBorder="1" applyAlignment="1">
      <alignment/>
    </xf>
    <xf numFmtId="194" fontId="29" fillId="33" borderId="14" xfId="0" applyNumberFormat="1" applyFont="1" applyFill="1" applyBorder="1" applyAlignment="1">
      <alignment/>
    </xf>
    <xf numFmtId="194" fontId="25" fillId="33" borderId="14" xfId="33" applyFont="1" applyFill="1" applyBorder="1" applyAlignment="1">
      <alignment/>
    </xf>
    <xf numFmtId="194" fontId="29" fillId="33" borderId="14" xfId="33" applyFont="1" applyFill="1" applyBorder="1" applyAlignment="1">
      <alignment/>
    </xf>
    <xf numFmtId="194" fontId="32" fillId="35" borderId="10" xfId="33" applyFont="1" applyFill="1" applyBorder="1" applyAlignment="1">
      <alignment/>
    </xf>
    <xf numFmtId="194" fontId="32" fillId="33" borderId="14" xfId="33" applyFont="1" applyFill="1" applyBorder="1" applyAlignment="1">
      <alignment/>
    </xf>
    <xf numFmtId="49" fontId="22" fillId="35" borderId="11" xfId="0" applyNumberFormat="1" applyFont="1" applyFill="1" applyBorder="1" applyAlignment="1">
      <alignment horizontal="center"/>
    </xf>
    <xf numFmtId="204" fontId="22" fillId="35" borderId="11" xfId="33" applyNumberFormat="1" applyFont="1" applyFill="1" applyBorder="1" applyAlignment="1">
      <alignment horizontal="right"/>
    </xf>
    <xf numFmtId="204" fontId="22" fillId="35" borderId="11" xfId="33" applyNumberFormat="1" applyFont="1" applyFill="1" applyBorder="1" applyAlignment="1">
      <alignment horizontal="center"/>
    </xf>
    <xf numFmtId="194" fontId="28" fillId="35" borderId="11" xfId="33" applyFont="1" applyFill="1" applyBorder="1" applyAlignment="1">
      <alignment/>
    </xf>
    <xf numFmtId="204" fontId="28" fillId="35" borderId="10" xfId="33" applyNumberFormat="1" applyFont="1" applyFill="1" applyBorder="1" applyAlignment="1">
      <alignment horizontal="right"/>
    </xf>
    <xf numFmtId="194" fontId="21" fillId="35" borderId="10" xfId="33" applyFont="1" applyFill="1" applyBorder="1" applyAlignment="1">
      <alignment/>
    </xf>
    <xf numFmtId="0" fontId="28" fillId="32" borderId="10" xfId="0" applyFont="1" applyFill="1" applyBorder="1" applyAlignment="1">
      <alignment horizontal="left"/>
    </xf>
    <xf numFmtId="204" fontId="29" fillId="35" borderId="14" xfId="0" applyNumberFormat="1" applyFont="1" applyFill="1" applyBorder="1" applyAlignment="1">
      <alignment horizontal="right"/>
    </xf>
    <xf numFmtId="204" fontId="29" fillId="35" borderId="14" xfId="0" applyNumberFormat="1" applyFont="1" applyFill="1" applyBorder="1" applyAlignment="1">
      <alignment/>
    </xf>
    <xf numFmtId="194" fontId="29" fillId="35" borderId="14" xfId="0" applyNumberFormat="1" applyFont="1" applyFill="1" applyBorder="1" applyAlignment="1">
      <alignment/>
    </xf>
    <xf numFmtId="194" fontId="32" fillId="35" borderId="14" xfId="33" applyFont="1" applyFill="1" applyBorder="1" applyAlignment="1">
      <alignment/>
    </xf>
    <xf numFmtId="194" fontId="29" fillId="35" borderId="14" xfId="33" applyFont="1" applyFill="1" applyBorder="1" applyAlignment="1">
      <alignment/>
    </xf>
    <xf numFmtId="0" fontId="22" fillId="32" borderId="13" xfId="0" applyFont="1" applyFill="1" applyBorder="1" applyAlignment="1">
      <alignment horizontal="center"/>
    </xf>
    <xf numFmtId="0" fontId="27" fillId="32" borderId="13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204" fontId="29" fillId="35" borderId="13" xfId="0" applyNumberFormat="1" applyFont="1" applyFill="1" applyBorder="1" applyAlignment="1">
      <alignment horizontal="right"/>
    </xf>
    <xf numFmtId="204" fontId="29" fillId="35" borderId="13" xfId="0" applyNumberFormat="1" applyFont="1" applyFill="1" applyBorder="1" applyAlignment="1">
      <alignment/>
    </xf>
    <xf numFmtId="194" fontId="29" fillId="35" borderId="13" xfId="0" applyNumberFormat="1" applyFont="1" applyFill="1" applyBorder="1" applyAlignment="1">
      <alignment/>
    </xf>
    <xf numFmtId="194" fontId="32" fillId="35" borderId="13" xfId="33" applyFont="1" applyFill="1" applyBorder="1" applyAlignment="1">
      <alignment/>
    </xf>
    <xf numFmtId="194" fontId="29" fillId="35" borderId="13" xfId="33" applyFont="1" applyFill="1" applyBorder="1" applyAlignment="1">
      <alignment/>
    </xf>
    <xf numFmtId="0" fontId="22" fillId="32" borderId="11" xfId="0" applyFont="1" applyFill="1" applyBorder="1" applyAlignment="1">
      <alignment horizontal="left"/>
    </xf>
    <xf numFmtId="0" fontId="22" fillId="32" borderId="15" xfId="0" applyFont="1" applyFill="1" applyBorder="1" applyAlignment="1">
      <alignment horizontal="center"/>
    </xf>
    <xf numFmtId="194" fontId="25" fillId="35" borderId="13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2" fillId="5" borderId="12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zoomScale="120" zoomScaleNormal="120" zoomScalePageLayoutView="0" workbookViewId="0" topLeftCell="B1">
      <pane ySplit="4" topLeftCell="A5" activePane="bottomLeft" state="frozen"/>
      <selection pane="topLeft" activeCell="A1" sqref="A1"/>
      <selection pane="bottomLeft" activeCell="F156" sqref="F156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2" t="s">
        <v>164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5.75" customHeight="1">
      <c r="A2" s="313" t="s">
        <v>0</v>
      </c>
      <c r="B2" s="313" t="s">
        <v>1</v>
      </c>
      <c r="C2" s="314" t="s">
        <v>2</v>
      </c>
      <c r="D2" s="315" t="s">
        <v>3</v>
      </c>
      <c r="E2" s="315"/>
      <c r="F2" s="315"/>
      <c r="G2" s="315" t="s">
        <v>7</v>
      </c>
      <c r="H2" s="315"/>
      <c r="I2" s="315"/>
      <c r="J2" s="315"/>
      <c r="K2" s="315" t="s">
        <v>9</v>
      </c>
      <c r="L2" s="315"/>
      <c r="M2" s="315"/>
      <c r="N2" s="315"/>
      <c r="O2" s="315" t="s">
        <v>10</v>
      </c>
      <c r="P2" s="315"/>
      <c r="Q2" s="315"/>
      <c r="R2" s="315"/>
    </row>
    <row r="3" spans="1:18" ht="14.25" customHeight="1">
      <c r="A3" s="313"/>
      <c r="B3" s="313"/>
      <c r="C3" s="314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145141499</v>
      </c>
      <c r="E4" s="59">
        <f>SUM(E143+E146+E148)</f>
        <v>19083484</v>
      </c>
      <c r="F4" s="59">
        <f>SUM(F143+F146+F148)</f>
        <v>126058015</v>
      </c>
      <c r="G4" s="61">
        <f>I4+J4</f>
        <v>145032848.14000002</v>
      </c>
      <c r="H4" s="61">
        <f>G4*100/D4</f>
        <v>99.92514142354284</v>
      </c>
      <c r="I4" s="59">
        <f>SUM(I143+I146+I148)</f>
        <v>19082953.59</v>
      </c>
      <c r="J4" s="59">
        <f>SUM(J143+J146+J148)</f>
        <v>125949894.55000001</v>
      </c>
      <c r="K4" s="61">
        <f>M4+N4</f>
        <v>100999.35000000123</v>
      </c>
      <c r="L4" s="61">
        <f>K4*100/D4</f>
        <v>0.0695868174821601</v>
      </c>
      <c r="M4" s="59">
        <f>SUM(M143+M146+M148)</f>
        <v>1.5916157281026244E-12</v>
      </c>
      <c r="N4" s="59">
        <f>SUM(N143+N146+N148)</f>
        <v>100999.35000000123</v>
      </c>
      <c r="O4" s="59">
        <f>Q4+R4</f>
        <v>7651.510000001917</v>
      </c>
      <c r="P4" s="59">
        <f>O4*100/D4</f>
        <v>0.005271758975013699</v>
      </c>
      <c r="Q4" s="59">
        <f>SUM(Q143+Q146+Q148)</f>
        <v>530.4100000002638</v>
      </c>
      <c r="R4" s="59">
        <f>SUM(R143+R146+R148)</f>
        <v>7121.100000001654</v>
      </c>
    </row>
    <row r="5" spans="1:18" ht="18" customHeight="1">
      <c r="A5" s="16">
        <v>1</v>
      </c>
      <c r="B5" s="58" t="s">
        <v>159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4.25" customHeight="1">
      <c r="A6" s="2"/>
      <c r="B6" s="5" t="s">
        <v>17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6.5" customHeight="1">
      <c r="A7" s="2">
        <v>1.1</v>
      </c>
      <c r="B7" s="3" t="s">
        <v>18</v>
      </c>
      <c r="C7" s="95" t="s">
        <v>20</v>
      </c>
      <c r="D7" s="96">
        <f>F7+E7</f>
        <v>1000000</v>
      </c>
      <c r="E7" s="97"/>
      <c r="F7" s="96">
        <v>1000000</v>
      </c>
      <c r="G7" s="98">
        <f>I7+J7</f>
        <v>999473.6900000001</v>
      </c>
      <c r="H7" s="98">
        <f>G7*100/D7</f>
        <v>99.947369</v>
      </c>
      <c r="I7" s="98"/>
      <c r="J7" s="98">
        <f>89970+36054+89340+26439.6+29648+87563+26439.6+6949.25+7581+325750.8+21070.4+26440+26478.5+17594+18569.85+26439.6+36180+23735.55+14720+48870.54+1160+12480</f>
        <v>999473.6900000001</v>
      </c>
      <c r="K7" s="98">
        <f>M7+N7</f>
        <v>0</v>
      </c>
      <c r="L7" s="98">
        <f>K7*100/D7</f>
        <v>0</v>
      </c>
      <c r="M7" s="98"/>
      <c r="N7" s="98">
        <f>63360-36180-12460-14720</f>
        <v>0</v>
      </c>
      <c r="O7" s="98">
        <f>D7-G7-K7</f>
        <v>526.3099999999395</v>
      </c>
      <c r="P7" s="98">
        <f>O7*100/D7</f>
        <v>0.052630999999993947</v>
      </c>
      <c r="Q7" s="98">
        <f>E7-I7-M7</f>
        <v>0</v>
      </c>
      <c r="R7" s="98">
        <f>F7-J7-N7</f>
        <v>526.3099999999395</v>
      </c>
    </row>
    <row r="8" spans="1:18" ht="16.5" customHeight="1">
      <c r="A8" s="2"/>
      <c r="B8" s="3" t="s">
        <v>19</v>
      </c>
      <c r="C8" s="3"/>
      <c r="D8" s="18"/>
      <c r="E8" s="3"/>
      <c r="F8" s="18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7"/>
      <c r="B9" s="5" t="s">
        <v>142</v>
      </c>
      <c r="C9" s="8"/>
      <c r="D9" s="9"/>
      <c r="E9" s="8"/>
      <c r="F9" s="9"/>
      <c r="G9" s="8"/>
      <c r="H9" s="8"/>
      <c r="I9" s="8"/>
      <c r="J9" s="6"/>
      <c r="K9" s="8"/>
      <c r="L9" s="8"/>
      <c r="M9" s="8"/>
      <c r="N9" s="8"/>
      <c r="O9" s="8"/>
      <c r="P9" s="8"/>
      <c r="Q9" s="8"/>
      <c r="R9" s="8"/>
    </row>
    <row r="10" spans="1:18" ht="16.5" customHeight="1">
      <c r="A10" s="7">
        <v>1.2</v>
      </c>
      <c r="B10" s="3" t="s">
        <v>18</v>
      </c>
      <c r="C10" s="95" t="s">
        <v>144</v>
      </c>
      <c r="D10" s="96">
        <f>F10+E10</f>
        <v>3733474</v>
      </c>
      <c r="E10" s="97"/>
      <c r="F10" s="96">
        <f>3734000-526</f>
        <v>3733474</v>
      </c>
      <c r="G10" s="98">
        <f>I10+J10</f>
        <v>3733393.6199999996</v>
      </c>
      <c r="H10" s="130">
        <f>G10*100/D10</f>
        <v>99.99784704540595</v>
      </c>
      <c r="I10" s="98"/>
      <c r="J10" s="98">
        <f>61592.25+84420+82470+84726.9+10816.2+244530+16090.8+76614.75+240930+37200+80070+31926+77520+231930+79318.8+231930+3304.95+87563+20585.85+80520.6+78117+10722.47+79770+3004.5+38950.35+18000+243630+77816.55+2400+12000+12018+133350+3304.95+95843.55+14700+79770+58708.8+15200+10920+66099+97417+83050+57085.5+14421.6+74640+63632.4+10920+33049.5+9013.5+74070+46269.3+94720+22800+42032+66850+8112.15+7920+9005.4</f>
        <v>3733393.6199999996</v>
      </c>
      <c r="K10" s="98">
        <f>M10+N10</f>
        <v>-2.1827872842550278E-11</v>
      </c>
      <c r="L10" s="98">
        <f>K10*100/D10</f>
        <v>-5.846531365304881E-16</v>
      </c>
      <c r="M10" s="98"/>
      <c r="N10" s="98">
        <f>12610.8+3480-16090.8+6540+6540+7505.85-20585.85+10510.35+9060+9060+15960+31920+74461.2-38950.35+44560-12000-58708.8-10920+7600+15200-63632.4-10920-22800-400</f>
        <v>-2.1827872842550278E-11</v>
      </c>
      <c r="O10" s="98">
        <f>D10-G10-K10</f>
        <v>80.38000000037573</v>
      </c>
      <c r="P10" s="98">
        <f>O10*100/D10</f>
        <v>0.0021529545940423243</v>
      </c>
      <c r="Q10" s="98">
        <f>E10-I10-M10</f>
        <v>0</v>
      </c>
      <c r="R10" s="98">
        <f>F10-J10-N10</f>
        <v>80.38000000037573</v>
      </c>
    </row>
    <row r="11" spans="1:18" ht="16.5" customHeight="1">
      <c r="A11" s="7"/>
      <c r="B11" s="3" t="s">
        <v>143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/>
      <c r="B12" s="5" t="s">
        <v>107</v>
      </c>
      <c r="C12" s="8"/>
      <c r="D12" s="9"/>
      <c r="E12" s="8"/>
      <c r="F12" s="9"/>
      <c r="G12" s="8"/>
      <c r="H12" s="8"/>
      <c r="I12" s="8"/>
      <c r="J12" s="6"/>
      <c r="K12" s="8"/>
      <c r="L12" s="8"/>
      <c r="M12" s="8"/>
      <c r="N12" s="8"/>
      <c r="O12" s="8"/>
      <c r="P12" s="8"/>
      <c r="Q12" s="8"/>
      <c r="R12" s="8"/>
    </row>
    <row r="13" spans="1:18" ht="16.5" customHeight="1">
      <c r="A13" s="7">
        <v>1.3</v>
      </c>
      <c r="B13" s="8" t="s">
        <v>41</v>
      </c>
      <c r="C13" s="24" t="s">
        <v>21</v>
      </c>
      <c r="D13" s="25">
        <f>F13+E13</f>
        <v>18638493</v>
      </c>
      <c r="E13" s="26">
        <f>940000-22941</f>
        <v>917059</v>
      </c>
      <c r="F13" s="25">
        <f>18521000-799566</f>
        <v>17721434</v>
      </c>
      <c r="G13" s="27">
        <f>I13+J13</f>
        <v>18637806.829999994</v>
      </c>
      <c r="H13" s="75">
        <f>G13*100/D13</f>
        <v>99.99631853283415</v>
      </c>
      <c r="I13" s="27">
        <f>355751.96+317986.25+151224.51+91662.53</f>
        <v>916625.25</v>
      </c>
      <c r="J13" s="27">
        <f>36400+90870+89970+109063.35+89970+52879.2+58033.8+113709.6+152812.01+100411.5+67302+832000+123863.2+150903.7+152934.5+553280+194707.7+112308+192304.1+97995+82170+213122.4+62501.65+9842+83970+135200+99121+481581.25+155641.15+84500+561500+699710+172928.25+82470+29890+19800+99247+81270+95000+330280+84500+84500+620000+734000+263934.6+227010+171173.75+27316.2+5002+19829.7+3644.3+99000+345856.85+253500+23726.1+107538+930000+185116.1+303600+78270+79770+173968.6+930000+3370+305890+280532.45+80970+13559.15+4749+143915.55+79770+620000+266060+138207+340749.2+25838.7+5122+39885+197651.15+6700+168300.75+203155+208851.65+227810.85+120289.4+30421.6+99812+84000+229551.85-300-1262.6+27923+98956+6845+252717.35+27200+78200+98232+270359.7+14952+154408.5+7918+8585.77+24942+13125+10499</f>
        <v>17721181.579999994</v>
      </c>
      <c r="K13" s="27">
        <f>M13+N13</f>
        <v>1.1140854905278275E-09</v>
      </c>
      <c r="L13" s="27">
        <f>K13*100/D13</f>
        <v>5.9773367435222766E-15</v>
      </c>
      <c r="M13" s="27">
        <f>917058.74-355751.96-317986.25-151224.51-91662.53-433.49</f>
        <v>1.978150976356119E-11</v>
      </c>
      <c r="N13" s="27">
        <f>16021.6+66767.4+6008.1+15421.6+1385280+1200+330280+948090+24640+33880-100411.5-5007.2+72416.5+18027-832000+5802.7+4000+2400+25177.2+237000+16800+150037.8+36843.2+52832.4+70576.5-152934.5-553280-199.1-420-600.9-9136.9+198297+1599100-213122.4+3100000-135200-84500-561500-29890+29890-330280-84500-84500-620000-734000-227010-171173.75-27316.2+506100+29323.4+562171.8+2403.6+36032.4-400-21393.3-84126-16524.75+29032.4-253500-23726.1-107538-930000-303600+3360-930000-305890-280532.45+168226.8-620000-266060+8010.8+64057.6-197651.15+108145.8-168300.75-1631.3-5001.35-60451.8-203155+32740+11880-100-115309.4+5408.1-30421.6+187052-1201.8-9990-36885-270359.7-1.8</f>
        <v>1.0943039807642663E-09</v>
      </c>
      <c r="O13" s="27">
        <f>D13-G13-K13</f>
        <v>686.1700000043993</v>
      </c>
      <c r="P13" s="27">
        <f>O13*100/D13</f>
        <v>0.003681467165850798</v>
      </c>
      <c r="Q13" s="27">
        <f>E13-I13-M13</f>
        <v>433.7499999999802</v>
      </c>
      <c r="R13" s="27">
        <f>F13-J13-N13</f>
        <v>252.42000000441914</v>
      </c>
    </row>
    <row r="14" spans="1:18" ht="15" customHeight="1">
      <c r="A14" s="7"/>
      <c r="B14" s="8" t="s">
        <v>12</v>
      </c>
      <c r="C14" s="23"/>
      <c r="D14" s="28"/>
      <c r="E14" s="29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5.75" customHeight="1">
      <c r="A15" s="7"/>
      <c r="B15" s="5" t="s">
        <v>36</v>
      </c>
      <c r="C15" s="8"/>
      <c r="D15" s="9"/>
      <c r="E15" s="8"/>
      <c r="F15" s="9"/>
      <c r="G15" s="8"/>
      <c r="H15" s="8"/>
      <c r="I15" s="8"/>
      <c r="J15" s="6"/>
      <c r="K15" s="8"/>
      <c r="L15" s="8"/>
      <c r="M15" s="8"/>
      <c r="N15" s="8"/>
      <c r="O15" s="8"/>
      <c r="P15" s="8"/>
      <c r="Q15" s="8"/>
      <c r="R15" s="8"/>
    </row>
    <row r="16" spans="1:18" ht="16.5" customHeight="1">
      <c r="A16" s="7">
        <v>1.4</v>
      </c>
      <c r="B16" s="8" t="s">
        <v>22</v>
      </c>
      <c r="C16" s="24" t="s">
        <v>24</v>
      </c>
      <c r="D16" s="25">
        <f>F16+E16</f>
        <v>9135700</v>
      </c>
      <c r="E16" s="26">
        <v>1190000</v>
      </c>
      <c r="F16" s="25">
        <f>7910000+35700</f>
        <v>7945700</v>
      </c>
      <c r="G16" s="27">
        <f>I16+J16</f>
        <v>9135594.010000002</v>
      </c>
      <c r="H16" s="75">
        <f>G16*100/D16</f>
        <v>99.99883982617644</v>
      </c>
      <c r="I16" s="27">
        <f>669868.33+401131.67+119000</f>
        <v>1190000</v>
      </c>
      <c r="J16" s="27">
        <f>85327.8+41040+81722.4+3644.3+125958.3+1200+82470+398158.29+121058.55+80970+132236.9+120797+197411.75+72050+25076+29000+61780+90600+391987+97176.8+258995.95+3004.5+204070+161898+293360+35410+321250.8+118978.2+4969.5+74620+238295.75+30083.9+208211.85+105758.4+9086+124725.65+78270+144524.5+18502.6+79867+146658.5+3304.95+1362731.05+162281.9+10504.4+98985+78570+39659.4+75270+75270+39494+14421.6+16825.2+16414.4+40680+28800+92580+38520+98980+2460.79+11717.55+9442+9831+99000+46980+70470+13219.8+57900+90658+99500+19958+55234.4+99900+11748+5472.33+2704.05+45900</f>
        <v>7945594.010000002</v>
      </c>
      <c r="K16" s="27">
        <f>M16+N16</f>
        <v>7.275957614183426E-11</v>
      </c>
      <c r="L16" s="27">
        <f>K16*100/D16</f>
        <v>7.964313204443476E-16</v>
      </c>
      <c r="M16" s="27">
        <f>1190000-669868.33-401131.67-119000</f>
        <v>0</v>
      </c>
      <c r="N16" s="27">
        <f>16240+24800-41040+1200-1200+9614.4+317275.2+16000-97176.8-16000-118978.2-4969.5-6.7+5603.6+5300.8+10400-105758.4+5300.8-18502.6+11209+24021.6-10504.4+39340-16414.4-420-55234.4-100</f>
        <v>7.275957614183426E-11</v>
      </c>
      <c r="O16" s="27">
        <f>D16-G16-K16</f>
        <v>105.98999999828811</v>
      </c>
      <c r="P16" s="27">
        <f>O16*100/D16</f>
        <v>0.0011601738235525259</v>
      </c>
      <c r="Q16" s="27">
        <f>E16-I16-M16</f>
        <v>0</v>
      </c>
      <c r="R16" s="27">
        <f>F16-J16-N16</f>
        <v>105.98999999828811</v>
      </c>
    </row>
    <row r="17" spans="1:18" ht="16.5" customHeight="1">
      <c r="A17" s="7"/>
      <c r="B17" s="8" t="s">
        <v>16</v>
      </c>
      <c r="C17" s="7" t="s">
        <v>129</v>
      </c>
      <c r="D17" s="9"/>
      <c r="E17" s="8"/>
      <c r="F17" s="9"/>
      <c r="G17" s="8"/>
      <c r="H17" s="8"/>
      <c r="I17" s="8"/>
      <c r="J17" s="6"/>
      <c r="K17" s="8"/>
      <c r="L17" s="8"/>
      <c r="M17" s="8"/>
      <c r="N17" s="8"/>
      <c r="O17" s="8"/>
      <c r="P17" s="8"/>
      <c r="Q17" s="8"/>
      <c r="R17" s="8"/>
    </row>
    <row r="18" spans="1:18" ht="13.5" customHeight="1">
      <c r="A18" s="7"/>
      <c r="B18" s="5" t="s">
        <v>35</v>
      </c>
      <c r="C18" s="8"/>
      <c r="D18" s="9"/>
      <c r="E18" s="8"/>
      <c r="F18" s="9"/>
      <c r="G18" s="8"/>
      <c r="H18" s="8"/>
      <c r="I18" s="8"/>
      <c r="J18" s="6"/>
      <c r="K18" s="8"/>
      <c r="L18" s="8"/>
      <c r="M18" s="8"/>
      <c r="N18" s="8"/>
      <c r="O18" s="8"/>
      <c r="P18" s="8"/>
      <c r="Q18" s="8"/>
      <c r="R18" s="8"/>
    </row>
    <row r="19" spans="1:18" ht="16.5" customHeight="1">
      <c r="A19" s="7">
        <v>1.5</v>
      </c>
      <c r="B19" s="8" t="s">
        <v>23</v>
      </c>
      <c r="C19" s="24" t="s">
        <v>24</v>
      </c>
      <c r="D19" s="25">
        <f>F19+E19</f>
        <v>8183800</v>
      </c>
      <c r="E19" s="26">
        <v>1094000</v>
      </c>
      <c r="F19" s="25">
        <f>7057000+32800</f>
        <v>7089800</v>
      </c>
      <c r="G19" s="27">
        <f>I19+J19</f>
        <v>8182897.339999999</v>
      </c>
      <c r="H19" s="27">
        <f>G19*100/D19</f>
        <v>99.9889701605611</v>
      </c>
      <c r="I19" s="27">
        <f>520883.05+463716.94+109400.01</f>
        <v>1094000</v>
      </c>
      <c r="J19" s="27">
        <f>86970+77070+84126+280723.52+123184.5+5741+27529.7+84126+92370+37500+1656.5+104564.65+115803+340410+98098+808056+228181.05+712080+210125.3+112594.5-3605.4+10254.2+99390+34800+112707.65+122961.85+168595.4+99933+1262.6+125365.45+94026+110880+114788+163592.5+4613+91350+24734+6949.25+116012.6+99659+121967.95+146414.1+87980+213060+99770+56523.5+61662+54457.6+96070+75270+74070+99170+29050+30100+71670+48072+3313+8814+97190+72800+56523.5+69270+13788+108915.2+63797.67</f>
        <v>7088897.339999999</v>
      </c>
      <c r="K19" s="27">
        <f>M19+N19</f>
        <v>7.275957614183426E-11</v>
      </c>
      <c r="L19" s="27">
        <f>K19*100/D19</f>
        <v>8.89068356287229E-16</v>
      </c>
      <c r="M19" s="27">
        <f>1094000-520883.05-463716.94-109400.01</f>
        <v>0</v>
      </c>
      <c r="N19" s="27">
        <f>156000+117828.7+470835.3+33460+68857.6-27529.7-210125.3-112594.5+24021.6+11226-42258.5-4303.6-40-168595.4-1262.6-163592.5-4613-146414.1+54457.6+108915.2-54457.6-108915.2-900</f>
        <v>7.275957614183426E-11</v>
      </c>
      <c r="O19" s="27">
        <f>D19-G19-K19</f>
        <v>902.6600000010076</v>
      </c>
      <c r="P19" s="27">
        <f>O19*100/D19</f>
        <v>0.011029839438903781</v>
      </c>
      <c r="Q19" s="27">
        <f>E19-I19-M19</f>
        <v>0</v>
      </c>
      <c r="R19" s="27">
        <f>F19-J19-N19</f>
        <v>902.6600000010076</v>
      </c>
    </row>
    <row r="20" spans="1:18" ht="15" customHeight="1">
      <c r="A20" s="7"/>
      <c r="B20" s="8" t="s">
        <v>16</v>
      </c>
      <c r="C20" s="7" t="s">
        <v>129</v>
      </c>
      <c r="D20" s="9"/>
      <c r="E20" s="8"/>
      <c r="F20" s="9"/>
      <c r="G20" s="8"/>
      <c r="H20" s="8"/>
      <c r="I20" s="8"/>
      <c r="J20" s="6"/>
      <c r="K20" s="8"/>
      <c r="L20" s="8"/>
      <c r="M20" s="8"/>
      <c r="N20" s="8"/>
      <c r="O20" s="8"/>
      <c r="P20" s="8"/>
      <c r="Q20" s="8"/>
      <c r="R20" s="8"/>
    </row>
    <row r="21" spans="1:18" ht="16.5" customHeight="1">
      <c r="A21" s="7"/>
      <c r="B21" s="56" t="s">
        <v>108</v>
      </c>
      <c r="C21" s="99"/>
      <c r="D21" s="100">
        <f>F21+E21</f>
        <v>35957993</v>
      </c>
      <c r="E21" s="101">
        <f>E13+E16+E19</f>
        <v>3201059</v>
      </c>
      <c r="F21" s="100">
        <f>F13+F16+F19</f>
        <v>32756934</v>
      </c>
      <c r="G21" s="102">
        <f>J21+I21</f>
        <v>35956298.17999999</v>
      </c>
      <c r="H21" s="130">
        <f>G21*100/D21</f>
        <v>99.9952866668615</v>
      </c>
      <c r="I21" s="102">
        <f>I13+I16+I19</f>
        <v>3200625.25</v>
      </c>
      <c r="J21" s="103">
        <f>J13+J16+J19</f>
        <v>32755672.929999996</v>
      </c>
      <c r="K21" s="102">
        <f>N21+M21</f>
        <v>1.259604642811496E-09</v>
      </c>
      <c r="L21" s="104"/>
      <c r="M21" s="102">
        <f>M13+M16+M19</f>
        <v>1.978150976356119E-11</v>
      </c>
      <c r="N21" s="102">
        <f>N13+N16+N19</f>
        <v>1.2398231330479348E-09</v>
      </c>
      <c r="O21" s="98">
        <f>D21-G21-K21</f>
        <v>1694.820000006489</v>
      </c>
      <c r="P21" s="98">
        <f>O21*100/D21</f>
        <v>0.004713333138494378</v>
      </c>
      <c r="Q21" s="102">
        <f>Q13+Q16+Q19</f>
        <v>433.7499999999802</v>
      </c>
      <c r="R21" s="102">
        <f>R13+R16+R19</f>
        <v>1261.0700000037148</v>
      </c>
    </row>
    <row r="22" spans="1:18" ht="16.5" customHeight="1">
      <c r="A22" s="7"/>
      <c r="B22" s="5" t="s">
        <v>106</v>
      </c>
      <c r="C22" s="8"/>
      <c r="D22" s="9"/>
      <c r="E22" s="8"/>
      <c r="F22" s="9"/>
      <c r="G22" s="8"/>
      <c r="H22" s="8"/>
      <c r="I22" s="8"/>
      <c r="J22" s="6"/>
      <c r="K22" s="8"/>
      <c r="L22" s="8"/>
      <c r="M22" s="8"/>
      <c r="N22" s="8"/>
      <c r="O22" s="8"/>
      <c r="P22" s="8"/>
      <c r="Q22" s="8"/>
      <c r="R22" s="8"/>
    </row>
    <row r="23" spans="1:18" ht="16.5" customHeight="1">
      <c r="A23" s="7">
        <v>1.6</v>
      </c>
      <c r="B23" s="8" t="s">
        <v>94</v>
      </c>
      <c r="C23" s="24" t="s">
        <v>58</v>
      </c>
      <c r="D23" s="25">
        <f>F23+E23</f>
        <v>1934585</v>
      </c>
      <c r="E23" s="26"/>
      <c r="F23" s="25">
        <f>1935000-415</f>
        <v>1934585</v>
      </c>
      <c r="G23" s="27">
        <f>I23+J23</f>
        <v>1934584.1</v>
      </c>
      <c r="H23" s="75">
        <f>G23*100/D23</f>
        <v>99.99995347839459</v>
      </c>
      <c r="I23" s="27"/>
      <c r="J23" s="27">
        <f>25237.8+28843.2+26439.6+26439.6+27724.55+66099+66099+180906+63094.5+131882+634116+72848+84448+75713.4+80149.3+62794.05+59489.1+66099+60090+57072+39000</f>
        <v>1934584.1</v>
      </c>
      <c r="K23" s="27">
        <f>M23+N23</f>
        <v>-1.4551915228366852E-11</v>
      </c>
      <c r="L23" s="27">
        <f>K23*100/D23</f>
        <v>-7.521982868866889E-16</v>
      </c>
      <c r="M23" s="27"/>
      <c r="N23" s="27">
        <f>85000+80149.3-552-84448-80149.3+57085-57072-13</f>
        <v>-1.4551915228366852E-11</v>
      </c>
      <c r="O23" s="27">
        <f>D23-G23-K23</f>
        <v>0.8999999999214197</v>
      </c>
      <c r="P23" s="27">
        <f>O23*100/D23</f>
        <v>4.6521605404850116E-05</v>
      </c>
      <c r="Q23" s="27">
        <f>E23-I23-M23</f>
        <v>0</v>
      </c>
      <c r="R23" s="27">
        <f>F23-J23-N23</f>
        <v>0.8999999999214197</v>
      </c>
    </row>
    <row r="24" spans="1:18" ht="16.5" customHeight="1">
      <c r="A24" s="7"/>
      <c r="B24" s="8" t="s">
        <v>16</v>
      </c>
      <c r="C24" s="8"/>
      <c r="D24" s="9"/>
      <c r="E24" s="8"/>
      <c r="F24" s="9"/>
      <c r="G24" s="8"/>
      <c r="H24" s="8"/>
      <c r="I24" s="8"/>
      <c r="J24" s="6"/>
      <c r="K24" s="8"/>
      <c r="L24" s="8"/>
      <c r="M24" s="8"/>
      <c r="N24" s="8"/>
      <c r="O24" s="8"/>
      <c r="P24" s="8"/>
      <c r="Q24" s="8"/>
      <c r="R24" s="8"/>
    </row>
    <row r="25" spans="1:18" ht="14.25" customHeight="1">
      <c r="A25" s="7"/>
      <c r="B25" s="5" t="s">
        <v>95</v>
      </c>
      <c r="C25" s="8"/>
      <c r="D25" s="9"/>
      <c r="E25" s="8"/>
      <c r="F25" s="9"/>
      <c r="G25" s="8"/>
      <c r="H25" s="8"/>
      <c r="I25" s="8"/>
      <c r="J25" s="6"/>
      <c r="K25" s="8"/>
      <c r="L25" s="8"/>
      <c r="M25" s="8"/>
      <c r="N25" s="8"/>
      <c r="O25" s="8"/>
      <c r="P25" s="8"/>
      <c r="Q25" s="8"/>
      <c r="R25" s="8"/>
    </row>
    <row r="26" spans="1:18" ht="16.5" customHeight="1">
      <c r="A26" s="7">
        <v>1.7</v>
      </c>
      <c r="B26" s="8" t="s">
        <v>96</v>
      </c>
      <c r="C26" s="24" t="s">
        <v>58</v>
      </c>
      <c r="D26" s="25">
        <f>F26+E26</f>
        <v>484000</v>
      </c>
      <c r="E26" s="26"/>
      <c r="F26" s="25">
        <v>484000</v>
      </c>
      <c r="G26" s="27">
        <f>I26+J26</f>
        <v>483095.35</v>
      </c>
      <c r="H26" s="27">
        <f>G26*100/D26</f>
        <v>99.8130888429752</v>
      </c>
      <c r="I26" s="27"/>
      <c r="J26" s="27">
        <f>16524.75+16524.75+16524.75+16524.75+4000+64680+15022.5+7511.25+158128+29520+6009+14421.6+3419+14413+13441.55+16562+3469+21031.5+23134.65+22233.3</f>
        <v>483095.35</v>
      </c>
      <c r="K26" s="27">
        <f>M26+N26</f>
        <v>0</v>
      </c>
      <c r="L26" s="27">
        <f>K26*100/D26</f>
        <v>0</v>
      </c>
      <c r="M26" s="27"/>
      <c r="N26" s="27">
        <f>29580-29520-60+15022.5+7210.8-22233.3</f>
        <v>0</v>
      </c>
      <c r="O26" s="27">
        <f>D26-G26-K26</f>
        <v>904.6500000000233</v>
      </c>
      <c r="P26" s="27">
        <f>O26*100/D26</f>
        <v>0.18691115702479819</v>
      </c>
      <c r="Q26" s="27">
        <f>E26-I26-M26</f>
        <v>0</v>
      </c>
      <c r="R26" s="27">
        <f>F26-J26-N26</f>
        <v>904.6500000000233</v>
      </c>
    </row>
    <row r="27" spans="1:18" ht="16.5" customHeight="1">
      <c r="A27" s="7"/>
      <c r="B27" s="8" t="s">
        <v>97</v>
      </c>
      <c r="C27" s="8"/>
      <c r="D27" s="9"/>
      <c r="E27" s="8"/>
      <c r="F27" s="9"/>
      <c r="G27" s="8"/>
      <c r="H27" s="8"/>
      <c r="I27" s="8"/>
      <c r="J27" s="6"/>
      <c r="K27" s="8"/>
      <c r="L27" s="8"/>
      <c r="M27" s="8"/>
      <c r="N27" s="8"/>
      <c r="O27" s="8"/>
      <c r="P27" s="8"/>
      <c r="Q27" s="8"/>
      <c r="R27" s="8"/>
    </row>
    <row r="28" spans="1:18" ht="15.75" customHeight="1">
      <c r="A28" s="7"/>
      <c r="B28" s="45" t="s">
        <v>98</v>
      </c>
      <c r="C28" s="8"/>
      <c r="D28" s="9"/>
      <c r="E28" s="8"/>
      <c r="F28" s="9"/>
      <c r="G28" s="8"/>
      <c r="H28" s="8"/>
      <c r="I28" s="8"/>
      <c r="J28" s="6"/>
      <c r="K28" s="8"/>
      <c r="L28" s="8"/>
      <c r="M28" s="8"/>
      <c r="N28" s="8"/>
      <c r="O28" s="8"/>
      <c r="P28" s="8"/>
      <c r="Q28" s="8"/>
      <c r="R28" s="8"/>
    </row>
    <row r="29" spans="1:18" ht="15" customHeight="1">
      <c r="A29" s="7"/>
      <c r="B29" s="8" t="s">
        <v>99</v>
      </c>
      <c r="C29" s="8"/>
      <c r="D29" s="9"/>
      <c r="E29" s="8"/>
      <c r="F29" s="9"/>
      <c r="G29" s="8"/>
      <c r="H29" s="8"/>
      <c r="I29" s="8"/>
      <c r="J29" s="6"/>
      <c r="K29" s="8"/>
      <c r="L29" s="8"/>
      <c r="M29" s="8"/>
      <c r="N29" s="8"/>
      <c r="O29" s="8"/>
      <c r="P29" s="8"/>
      <c r="Q29" s="8"/>
      <c r="R29" s="8"/>
    </row>
    <row r="30" spans="1:18" ht="16.5" customHeight="1">
      <c r="A30" s="7"/>
      <c r="B30" s="5" t="s">
        <v>100</v>
      </c>
      <c r="C30" s="8"/>
      <c r="D30" s="9"/>
      <c r="E30" s="8"/>
      <c r="F30" s="9"/>
      <c r="G30" s="8"/>
      <c r="H30" s="8"/>
      <c r="I30" s="8"/>
      <c r="J30" s="6"/>
      <c r="K30" s="8"/>
      <c r="L30" s="8"/>
      <c r="M30" s="8"/>
      <c r="N30" s="8"/>
      <c r="O30" s="8"/>
      <c r="P30" s="8"/>
      <c r="Q30" s="8"/>
      <c r="R30" s="8"/>
    </row>
    <row r="31" spans="1:18" ht="16.5" customHeight="1">
      <c r="A31" s="7">
        <v>1.8</v>
      </c>
      <c r="B31" s="8" t="s">
        <v>101</v>
      </c>
      <c r="C31" s="24" t="s">
        <v>58</v>
      </c>
      <c r="D31" s="25">
        <f>F31+E31</f>
        <v>246486</v>
      </c>
      <c r="E31" s="26">
        <f>243000-3000</f>
        <v>240000</v>
      </c>
      <c r="F31" s="25">
        <f>7000-514</f>
        <v>6486</v>
      </c>
      <c r="G31" s="27">
        <f>I31+J31</f>
        <v>246486</v>
      </c>
      <c r="H31" s="75">
        <f>G31*100/D31</f>
        <v>100</v>
      </c>
      <c r="I31" s="27">
        <v>240000</v>
      </c>
      <c r="J31" s="27">
        <f>3272+3214</f>
        <v>6486</v>
      </c>
      <c r="K31" s="27">
        <f>M31+N31</f>
        <v>0</v>
      </c>
      <c r="L31" s="27">
        <f>K31*100/D31</f>
        <v>0</v>
      </c>
      <c r="M31" s="27"/>
      <c r="N31" s="27"/>
      <c r="O31" s="27">
        <f>D31-G31-K31</f>
        <v>0</v>
      </c>
      <c r="P31" s="27">
        <f>O31*100/D31</f>
        <v>0</v>
      </c>
      <c r="Q31" s="27">
        <f>E31-I31-M31</f>
        <v>0</v>
      </c>
      <c r="R31" s="27">
        <f>F31-J31-N31</f>
        <v>0</v>
      </c>
    </row>
    <row r="32" spans="1:18" ht="16.5" customHeight="1">
      <c r="A32" s="7"/>
      <c r="B32" s="8" t="s">
        <v>102</v>
      </c>
      <c r="C32" s="8"/>
      <c r="D32" s="9"/>
      <c r="E32" s="8"/>
      <c r="F32" s="9"/>
      <c r="G32" s="8"/>
      <c r="H32" s="8"/>
      <c r="I32" s="8"/>
      <c r="J32" s="6"/>
      <c r="K32" s="8"/>
      <c r="L32" s="8"/>
      <c r="M32" s="8"/>
      <c r="N32" s="8"/>
      <c r="O32" s="8"/>
      <c r="P32" s="8"/>
      <c r="Q32" s="8"/>
      <c r="R32" s="8"/>
    </row>
    <row r="33" spans="1:18" ht="16.5" customHeight="1">
      <c r="A33" s="7"/>
      <c r="B33" s="5" t="s">
        <v>103</v>
      </c>
      <c r="C33" s="8"/>
      <c r="D33" s="9"/>
      <c r="E33" s="8"/>
      <c r="F33" s="9"/>
      <c r="G33" s="8"/>
      <c r="H33" s="8"/>
      <c r="I33" s="8"/>
      <c r="J33" s="6"/>
      <c r="K33" s="8"/>
      <c r="L33" s="8"/>
      <c r="M33" s="8"/>
      <c r="N33" s="8"/>
      <c r="O33" s="8"/>
      <c r="P33" s="8"/>
      <c r="Q33" s="8"/>
      <c r="R33" s="8"/>
    </row>
    <row r="34" spans="1:18" ht="16.5" customHeight="1">
      <c r="A34" s="7">
        <v>1.9</v>
      </c>
      <c r="B34" s="8" t="s">
        <v>104</v>
      </c>
      <c r="C34" s="24" t="s">
        <v>58</v>
      </c>
      <c r="D34" s="25">
        <f>F34+E34</f>
        <v>1934770</v>
      </c>
      <c r="E34" s="26"/>
      <c r="F34" s="25">
        <f>1935000-230</f>
        <v>1934770</v>
      </c>
      <c r="G34" s="27">
        <f>I34+J34</f>
        <v>1934769.5100000002</v>
      </c>
      <c r="H34" s="75">
        <f>G34*100/D34</f>
        <v>99.99997467399227</v>
      </c>
      <c r="I34" s="27"/>
      <c r="J34" s="27">
        <f>18928.35+53179.65+78412.5+90138.06+72108+72108+2254+63094.5+141860+619039+72108+92108+79919.7+33650+46269.3+75558+59489.1+99440+54081+111024.35</f>
        <v>1934769.5100000002</v>
      </c>
      <c r="K34" s="27">
        <f>M34+N34</f>
        <v>0</v>
      </c>
      <c r="L34" s="27">
        <f>K34*100/D34</f>
        <v>0</v>
      </c>
      <c r="M34" s="27"/>
      <c r="N34" s="27">
        <f>100913.4-92108-8805.4+60060+8160+42964.35-111024.35-160</f>
        <v>0</v>
      </c>
      <c r="O34" s="27">
        <f>D34-G34-K34</f>
        <v>0.48999999975785613</v>
      </c>
      <c r="P34" s="27">
        <f>O34*100/D34</f>
        <v>2.5326007730006984E-05</v>
      </c>
      <c r="Q34" s="27">
        <f>E34-I34-M34</f>
        <v>0</v>
      </c>
      <c r="R34" s="27">
        <f>F34-J34-N34</f>
        <v>0.48999999975785613</v>
      </c>
    </row>
    <row r="35" spans="1:18" ht="18" customHeight="1">
      <c r="A35" s="7"/>
      <c r="B35" s="8" t="s">
        <v>105</v>
      </c>
      <c r="C35" s="8"/>
      <c r="D35" s="9"/>
      <c r="E35" s="8"/>
      <c r="F35" s="9"/>
      <c r="G35" s="8"/>
      <c r="H35" s="8"/>
      <c r="I35" s="8"/>
      <c r="J35" s="6"/>
      <c r="K35" s="8"/>
      <c r="L35" s="8"/>
      <c r="M35" s="8"/>
      <c r="N35" s="8"/>
      <c r="O35" s="8"/>
      <c r="P35" s="8"/>
      <c r="Q35" s="8"/>
      <c r="R35" s="8"/>
    </row>
    <row r="36" spans="1:18" ht="15" customHeight="1">
      <c r="A36" s="20"/>
      <c r="B36" s="57" t="s">
        <v>109</v>
      </c>
      <c r="C36" s="105"/>
      <c r="D36" s="106">
        <f>F36+E36</f>
        <v>4599841</v>
      </c>
      <c r="E36" s="107">
        <f>E23+E26+E31+E34</f>
        <v>240000</v>
      </c>
      <c r="F36" s="106">
        <f>F23+F26+F31+F34</f>
        <v>4359841</v>
      </c>
      <c r="G36" s="108">
        <f>J36+I36</f>
        <v>4598934.960000001</v>
      </c>
      <c r="H36" s="98">
        <f>G36*100/D36</f>
        <v>99.98030279742281</v>
      </c>
      <c r="I36" s="108">
        <f>I23+I26+I31+I34</f>
        <v>240000</v>
      </c>
      <c r="J36" s="109">
        <f>J23+J26+J31+J34</f>
        <v>4358934.960000001</v>
      </c>
      <c r="K36" s="108">
        <f>N36+M36</f>
        <v>-1.4551915228366852E-11</v>
      </c>
      <c r="L36" s="110"/>
      <c r="M36" s="108">
        <f>M23+M26+M31+M34</f>
        <v>0</v>
      </c>
      <c r="N36" s="108">
        <f>N23+N26+N31+N34</f>
        <v>-1.4551915228366852E-11</v>
      </c>
      <c r="O36" s="109">
        <f>D36-G36-K36</f>
        <v>906.0399999991205</v>
      </c>
      <c r="P36" s="109">
        <f>O36*100/D36</f>
        <v>0.019697202577200396</v>
      </c>
      <c r="Q36" s="108">
        <f>Q23+Q26+Q31+Q34</f>
        <v>0</v>
      </c>
      <c r="R36" s="108">
        <f>R23+R26+R31+R34</f>
        <v>906.0399999997026</v>
      </c>
    </row>
    <row r="37" spans="1:19" ht="16.5" customHeight="1">
      <c r="A37" s="69" t="s">
        <v>119</v>
      </c>
      <c r="B37" s="37" t="s">
        <v>25</v>
      </c>
      <c r="C37" s="63"/>
      <c r="D37" s="64"/>
      <c r="E37" s="63"/>
      <c r="F37" s="64"/>
      <c r="G37" s="63"/>
      <c r="H37" s="63"/>
      <c r="I37" s="63"/>
      <c r="J37" s="65"/>
      <c r="K37" s="63"/>
      <c r="L37" s="63"/>
      <c r="M37" s="63"/>
      <c r="N37" s="63"/>
      <c r="O37" s="63"/>
      <c r="P37" s="63"/>
      <c r="Q37" s="63"/>
      <c r="R37" s="63"/>
      <c r="S37" s="118">
        <v>2</v>
      </c>
    </row>
    <row r="38" spans="1:18" ht="16.5" customHeight="1">
      <c r="A38" s="2">
        <v>1.1</v>
      </c>
      <c r="B38" s="3" t="s">
        <v>13</v>
      </c>
      <c r="C38" s="24" t="s">
        <v>21</v>
      </c>
      <c r="D38" s="25">
        <f>F38+E38</f>
        <v>980669</v>
      </c>
      <c r="E38" s="26">
        <f>400000-40</f>
        <v>399960</v>
      </c>
      <c r="F38" s="25">
        <f>600000-19291</f>
        <v>580709</v>
      </c>
      <c r="G38" s="27">
        <f>I38+J38</f>
        <v>980667.89</v>
      </c>
      <c r="H38" s="75">
        <f>G38*100/D38</f>
        <v>99.99988681196204</v>
      </c>
      <c r="I38" s="27">
        <f>99959.25+80000+60000+60000+50000+50000</f>
        <v>399959.25</v>
      </c>
      <c r="J38" s="27">
        <f>46269.3+64296.3+60390.45+8216+53780.55+62193.15+19984.2+9013.5+15022.5+26219.46+48072+4654+62794.05+15022.5+4189+4189+20705.84+5991+20705.84+29000</f>
        <v>580708.64</v>
      </c>
      <c r="K38" s="27">
        <f>M38+N38</f>
        <v>0</v>
      </c>
      <c r="L38" s="27">
        <f>K38*100/D38</f>
        <v>0</v>
      </c>
      <c r="M38" s="27"/>
      <c r="N38" s="27">
        <f>24036-9013.5-15022.5</f>
        <v>0</v>
      </c>
      <c r="O38" s="27">
        <f>D38-G38-K38</f>
        <v>1.1099999999860302</v>
      </c>
      <c r="P38" s="27">
        <f>O38*100/D38</f>
        <v>0.00011318803796041582</v>
      </c>
      <c r="Q38" s="27">
        <f>E38-I38-M38</f>
        <v>0.75</v>
      </c>
      <c r="R38" s="27">
        <f>F38-J38-N38</f>
        <v>0.35999999998603016</v>
      </c>
    </row>
    <row r="39" spans="1:18" ht="16.5" customHeight="1">
      <c r="A39" s="46"/>
      <c r="B39" s="44" t="s">
        <v>30</v>
      </c>
      <c r="C39" s="52"/>
      <c r="D39" s="53"/>
      <c r="E39" s="52"/>
      <c r="F39" s="53"/>
      <c r="G39" s="52"/>
      <c r="H39" s="52"/>
      <c r="I39" s="52"/>
      <c r="J39" s="54"/>
      <c r="K39" s="52"/>
      <c r="L39" s="52"/>
      <c r="M39" s="52"/>
      <c r="N39" s="52"/>
      <c r="O39" s="52"/>
      <c r="P39" s="52"/>
      <c r="Q39" s="52"/>
      <c r="R39" s="52"/>
    </row>
    <row r="40" spans="1:18" ht="18" customHeight="1">
      <c r="A40" s="7">
        <v>1.2</v>
      </c>
      <c r="B40" s="8" t="s">
        <v>26</v>
      </c>
      <c r="C40" s="24" t="s">
        <v>21</v>
      </c>
      <c r="D40" s="25">
        <f>F40+E40</f>
        <v>968000</v>
      </c>
      <c r="E40" s="26"/>
      <c r="F40" s="25">
        <v>968000</v>
      </c>
      <c r="G40" s="27">
        <f>I40+J40</f>
        <v>967991.5900000001</v>
      </c>
      <c r="H40" s="75">
        <f>G40*100/D40</f>
        <v>99.99913119834713</v>
      </c>
      <c r="I40" s="27"/>
      <c r="J40" s="27">
        <f>128200+48072+4896+60009.59+13487+5012+183754+18627.9+18928.35+32448.6+39659.4+33650.4+24940+28242.3+90522+25838.7+21632.4+14463+8412.6+98095+10215.3+9914.85+9914.85+13219.8+12018+13817.55</f>
        <v>967991.5900000001</v>
      </c>
      <c r="K40" s="27">
        <f>M40+N40</f>
        <v>0</v>
      </c>
      <c r="L40" s="27">
        <f>K40*100/D40</f>
        <v>0</v>
      </c>
      <c r="M40" s="27"/>
      <c r="N40" s="27">
        <f>70305.3-33650.4-21632.4-15022.5+13817.55-13817.55</f>
        <v>0</v>
      </c>
      <c r="O40" s="27">
        <f>D40-G40-K40</f>
        <v>8.409999999916181</v>
      </c>
      <c r="P40" s="27">
        <f>O40*100/D40</f>
        <v>0.000868801652883903</v>
      </c>
      <c r="Q40" s="27">
        <f>E40-I40-M40</f>
        <v>0</v>
      </c>
      <c r="R40" s="27">
        <f>F40-J40-N40</f>
        <v>8.409999999916181</v>
      </c>
    </row>
    <row r="41" spans="1:18" ht="16.5" customHeight="1">
      <c r="A41" s="7"/>
      <c r="B41" s="5" t="s">
        <v>31</v>
      </c>
      <c r="C41" s="8"/>
      <c r="D41" s="9"/>
      <c r="E41" s="8"/>
      <c r="F41" s="9"/>
      <c r="G41" s="8"/>
      <c r="H41" s="8"/>
      <c r="I41" s="8"/>
      <c r="J41" s="6"/>
      <c r="K41" s="8"/>
      <c r="L41" s="8"/>
      <c r="M41" s="8"/>
      <c r="N41" s="8"/>
      <c r="O41" s="8"/>
      <c r="P41" s="8"/>
      <c r="Q41" s="8"/>
      <c r="R41" s="8"/>
    </row>
    <row r="42" spans="1:18" ht="16.5" customHeight="1">
      <c r="A42" s="7">
        <v>1.3</v>
      </c>
      <c r="B42" s="8" t="s">
        <v>27</v>
      </c>
      <c r="C42" s="24" t="s">
        <v>21</v>
      </c>
      <c r="D42" s="25">
        <f>F42+E42</f>
        <v>483851</v>
      </c>
      <c r="E42" s="26"/>
      <c r="F42" s="25">
        <f>484000-149</f>
        <v>483851</v>
      </c>
      <c r="G42" s="27">
        <f>I42+J42</f>
        <v>483850.81</v>
      </c>
      <c r="H42" s="75">
        <f>G42*100/D42</f>
        <v>99.99996073171286</v>
      </c>
      <c r="I42" s="27"/>
      <c r="J42" s="27">
        <f>60090+41616+28152+33049.5+36054+43016.76+28419+33049.5+26740.05+30835+70555+52274</f>
        <v>483850.81</v>
      </c>
      <c r="K42" s="27">
        <f>M42+N42</f>
        <v>0</v>
      </c>
      <c r="L42" s="27">
        <f>K42*100/D42</f>
        <v>0</v>
      </c>
      <c r="M42" s="27"/>
      <c r="N42" s="27"/>
      <c r="O42" s="27">
        <f>D42-G42-K42</f>
        <v>0.1900000000023283</v>
      </c>
      <c r="P42" s="27">
        <f>O42*100/D42</f>
        <v>3.926828713846377E-05</v>
      </c>
      <c r="Q42" s="27">
        <f>E42-I42-M42</f>
        <v>0</v>
      </c>
      <c r="R42" s="27">
        <f>F42-J42-N42</f>
        <v>0.1900000000023283</v>
      </c>
    </row>
    <row r="43" spans="1:18" ht="16.5" customHeight="1">
      <c r="A43" s="7"/>
      <c r="B43" s="5" t="s">
        <v>32</v>
      </c>
      <c r="C43" s="8"/>
      <c r="D43" s="9"/>
      <c r="E43" s="8"/>
      <c r="F43" s="9"/>
      <c r="G43" s="8"/>
      <c r="H43" s="8"/>
      <c r="I43" s="8"/>
      <c r="J43" s="6"/>
      <c r="K43" s="8"/>
      <c r="L43" s="8"/>
      <c r="M43" s="8"/>
      <c r="N43" s="8"/>
      <c r="O43" s="8"/>
      <c r="P43" s="8"/>
      <c r="Q43" s="8"/>
      <c r="R43" s="8"/>
    </row>
    <row r="44" spans="1:18" ht="16.5" customHeight="1">
      <c r="A44" s="7">
        <v>1.4</v>
      </c>
      <c r="B44" s="8" t="s">
        <v>28</v>
      </c>
      <c r="C44" s="24" t="s">
        <v>21</v>
      </c>
      <c r="D44" s="25">
        <f>F44+E44</f>
        <v>957000</v>
      </c>
      <c r="E44" s="26"/>
      <c r="F44" s="25">
        <v>957000</v>
      </c>
      <c r="G44" s="27">
        <f>I44+J44</f>
        <v>955945.4299999999</v>
      </c>
      <c r="H44" s="27">
        <f>G44*100/D44</f>
        <v>99.88980459770114</v>
      </c>
      <c r="I44" s="27"/>
      <c r="J44" s="27">
        <f>48072+26439.6+28843.2+75935.33+23134.65+23134.65+21031.5+338260+21031.5+24036+28843.2+33049.5+17100+33049.5+20015+13219.8+89938+12018+18060+16500+6123+24900+8203+5008</f>
        <v>955945.4299999999</v>
      </c>
      <c r="K44" s="27">
        <f>M44+N44</f>
        <v>0</v>
      </c>
      <c r="L44" s="27">
        <f>K44*100/D44</f>
        <v>0</v>
      </c>
      <c r="M44" s="27"/>
      <c r="N44" s="27"/>
      <c r="O44" s="27">
        <f>D44-G44-K44</f>
        <v>1054.5700000000652</v>
      </c>
      <c r="P44" s="27">
        <f>O44*100/D44</f>
        <v>0.11019540229885738</v>
      </c>
      <c r="Q44" s="27">
        <f>E44-I44-M44</f>
        <v>0</v>
      </c>
      <c r="R44" s="27">
        <f>F44-J44-N44</f>
        <v>1054.5700000000652</v>
      </c>
    </row>
    <row r="45" spans="1:18" ht="16.5" customHeight="1">
      <c r="A45" s="7"/>
      <c r="B45" s="5" t="s">
        <v>33</v>
      </c>
      <c r="C45" s="8"/>
      <c r="D45" s="9"/>
      <c r="E45" s="8"/>
      <c r="F45" s="9"/>
      <c r="G45" s="8"/>
      <c r="H45" s="8"/>
      <c r="I45" s="8"/>
      <c r="J45" s="6"/>
      <c r="K45" s="8"/>
      <c r="L45" s="8"/>
      <c r="M45" s="8"/>
      <c r="N45" s="8"/>
      <c r="O45" s="8"/>
      <c r="P45" s="8"/>
      <c r="Q45" s="8"/>
      <c r="R45" s="8"/>
    </row>
    <row r="46" spans="1:18" ht="16.5" customHeight="1">
      <c r="A46" s="7">
        <v>1.5</v>
      </c>
      <c r="B46" s="8" t="s">
        <v>14</v>
      </c>
      <c r="C46" s="24" t="s">
        <v>21</v>
      </c>
      <c r="D46" s="25">
        <f>F46+E46</f>
        <v>287000</v>
      </c>
      <c r="E46" s="26"/>
      <c r="F46" s="25">
        <v>287000</v>
      </c>
      <c r="G46" s="27">
        <f>I46+J46</f>
        <v>287000</v>
      </c>
      <c r="H46" s="75">
        <f>G46*100/D46</f>
        <v>100</v>
      </c>
      <c r="I46" s="27"/>
      <c r="J46" s="27">
        <f>15600+30020+34347+20000+30300+20000+56710+40960+29390+9673</f>
        <v>287000</v>
      </c>
      <c r="K46" s="27">
        <f>M46+N46</f>
        <v>0</v>
      </c>
      <c r="L46" s="27">
        <f>K46*100/D46</f>
        <v>0</v>
      </c>
      <c r="M46" s="27"/>
      <c r="N46" s="27">
        <f>15600-15600+29400-29390-10</f>
        <v>0</v>
      </c>
      <c r="O46" s="27">
        <f>D46-G46-K46</f>
        <v>0</v>
      </c>
      <c r="P46" s="27">
        <f>O46*100/D46</f>
        <v>0</v>
      </c>
      <c r="Q46" s="27">
        <f>E46-I46-M46</f>
        <v>0</v>
      </c>
      <c r="R46" s="27">
        <f>F46-J46-N46</f>
        <v>0</v>
      </c>
    </row>
    <row r="47" spans="1:18" ht="16.5" customHeight="1">
      <c r="A47" s="7"/>
      <c r="B47" s="8" t="s">
        <v>15</v>
      </c>
      <c r="C47" s="8"/>
      <c r="D47" s="9"/>
      <c r="E47" s="8"/>
      <c r="F47" s="9"/>
      <c r="G47" s="8"/>
      <c r="H47" s="8"/>
      <c r="I47" s="8"/>
      <c r="J47" s="6"/>
      <c r="K47" s="8"/>
      <c r="L47" s="8"/>
      <c r="M47" s="8"/>
      <c r="N47" s="8"/>
      <c r="O47" s="8"/>
      <c r="P47" s="8"/>
      <c r="Q47" s="8"/>
      <c r="R47" s="8"/>
    </row>
    <row r="48" spans="1:18" ht="16.5" customHeight="1">
      <c r="A48" s="7"/>
      <c r="B48" s="5" t="s">
        <v>34</v>
      </c>
      <c r="C48" s="8"/>
      <c r="D48" s="9"/>
      <c r="E48" s="8"/>
      <c r="F48" s="9"/>
      <c r="G48" s="8"/>
      <c r="H48" s="8"/>
      <c r="I48" s="8"/>
      <c r="J48" s="6"/>
      <c r="K48" s="8"/>
      <c r="L48" s="8"/>
      <c r="M48" s="8"/>
      <c r="N48" s="8"/>
      <c r="O48" s="8"/>
      <c r="P48" s="8"/>
      <c r="Q48" s="8"/>
      <c r="R48" s="8"/>
    </row>
    <row r="49" spans="1:18" ht="16.5" customHeight="1">
      <c r="A49" s="7">
        <v>1.6</v>
      </c>
      <c r="B49" s="8" t="s">
        <v>29</v>
      </c>
      <c r="C49" s="24" t="s">
        <v>21</v>
      </c>
      <c r="D49" s="25">
        <f>F49+E49</f>
        <v>477217</v>
      </c>
      <c r="E49" s="26"/>
      <c r="F49" s="25">
        <f>478000-783</f>
        <v>477217</v>
      </c>
      <c r="G49" s="27">
        <f>I49+J49</f>
        <v>477216.6</v>
      </c>
      <c r="H49" s="75">
        <f>G49*100/D49</f>
        <v>99.99991618068928</v>
      </c>
      <c r="I49" s="27"/>
      <c r="J49" s="27">
        <f>16524.75+16524.75+13520.25+16524.75+20022.5+2191+24036+29682.25+24036+28236+16932+9013.5+144248+9914.85+13920+79770+12120</f>
        <v>477216.6</v>
      </c>
      <c r="K49" s="27">
        <f>M49+N49</f>
        <v>0</v>
      </c>
      <c r="L49" s="27">
        <f>K49*100/D49</f>
        <v>0</v>
      </c>
      <c r="M49" s="27"/>
      <c r="N49" s="27">
        <f>47554-20022.5+13213.5-28236+13920-12509-13920</f>
        <v>0</v>
      </c>
      <c r="O49" s="27">
        <f>D49-G49-K49</f>
        <v>0.40000000002328306</v>
      </c>
      <c r="P49" s="27">
        <f>O49*100/D49</f>
        <v>8.381931071677729E-05</v>
      </c>
      <c r="Q49" s="27">
        <f>E49-I49-M49</f>
        <v>0</v>
      </c>
      <c r="R49" s="27">
        <f>F49-J49-N49</f>
        <v>0.40000000002328306</v>
      </c>
    </row>
    <row r="50" spans="1:18" ht="16.5" customHeight="1">
      <c r="A50" s="7"/>
      <c r="B50" s="5" t="s">
        <v>42</v>
      </c>
      <c r="C50" s="23"/>
      <c r="D50" s="28"/>
      <c r="E50" s="29"/>
      <c r="F50" s="28"/>
      <c r="G50" s="30"/>
      <c r="H50" s="27"/>
      <c r="I50" s="30"/>
      <c r="J50" s="30"/>
      <c r="K50" s="30"/>
      <c r="L50" s="27"/>
      <c r="M50" s="30"/>
      <c r="N50" s="30"/>
      <c r="O50" s="30"/>
      <c r="P50" s="27"/>
      <c r="Q50" s="30"/>
      <c r="R50" s="30"/>
    </row>
    <row r="51" spans="1:18" ht="16.5" customHeight="1">
      <c r="A51" s="7">
        <v>1.7</v>
      </c>
      <c r="B51" s="8" t="s">
        <v>43</v>
      </c>
      <c r="C51" s="23" t="s">
        <v>44</v>
      </c>
      <c r="D51" s="25">
        <f>F51+E51</f>
        <v>4376000</v>
      </c>
      <c r="E51" s="26"/>
      <c r="F51" s="25">
        <v>4376000</v>
      </c>
      <c r="G51" s="27">
        <f>I51+J51</f>
        <v>4375350.24</v>
      </c>
      <c r="H51" s="27">
        <f>G51*100/D51</f>
        <v>99.98515173674589</v>
      </c>
      <c r="I51" s="27"/>
      <c r="J51" s="27">
        <f>34900+32749.05+78756.8+119348.4+1200+121120.25+121721.15+62616+2125.2+107268.7+63894+60000+87138.55+21031.5+9054+24016.2+17101.89+60707+48072+21031.5+8068+9200+158777.1+99010+17690+38133.5+44147.7+3670+43982.4+56184.15+99525+54982.35+72825.6+57385.95+26439.6+55030.5+67892+23843.6+4994+138624.15+28890+9000+127114.5+68148.5+10403.6+10999+8520+27020+32820+8580+94727.6+49574.25+145234.05+9090+106376.8+12732+109180.05+87640.2+21632.4+106075.5+34432+8288.1+13920+6750+17210+186303.15+3375+9782+11050+5025+205924.95+14880+11200+71810.7+99597+10832+88195+20018+260144.1+48597</f>
        <v>4375350.24</v>
      </c>
      <c r="K51" s="27">
        <f>M51+N51</f>
        <v>2.6190605240117293E-11</v>
      </c>
      <c r="L51" s="27">
        <f>K51*100/D51</f>
        <v>5.985056042074336E-16</v>
      </c>
      <c r="M51" s="27"/>
      <c r="N51" s="27">
        <f>1200-1200+10700+68448.6-2125.2+33027+204520.5+24000+21811.7-9054-24016.2-38133.5-44147.7+17791.8+13440-20621.6+18994.5-55030.5-23843.6-2503.6+28843.2-68148.5-10403.6+18994.5+13582.5+2520+41894.8+18957.1-106376.8-5.3+15022.5-37.4-11009+20018+37213.75-106075.5+20058.9-8288.1-8101.35-71810.7-20018-89.2</f>
        <v>2.6190605240117293E-11</v>
      </c>
      <c r="O51" s="27">
        <f>D51-G51-K51</f>
        <v>649.7599999997503</v>
      </c>
      <c r="P51" s="27">
        <f>O51*100/D51</f>
        <v>0.014848263254107642</v>
      </c>
      <c r="Q51" s="27">
        <f>E51-I51-M51</f>
        <v>0</v>
      </c>
      <c r="R51" s="27">
        <f>F51-J51-N51</f>
        <v>649.7599999997503</v>
      </c>
    </row>
    <row r="52" spans="1:18" ht="16.5" customHeight="1">
      <c r="A52" s="7"/>
      <c r="B52" s="5" t="s">
        <v>45</v>
      </c>
      <c r="C52" s="23"/>
      <c r="D52" s="28"/>
      <c r="E52" s="29"/>
      <c r="F52" s="28"/>
      <c r="G52" s="30"/>
      <c r="H52" s="27"/>
      <c r="I52" s="30"/>
      <c r="J52" s="30"/>
      <c r="K52" s="30"/>
      <c r="L52" s="27"/>
      <c r="M52" s="30"/>
      <c r="N52" s="30"/>
      <c r="O52" s="30"/>
      <c r="P52" s="27"/>
      <c r="Q52" s="30"/>
      <c r="R52" s="30"/>
    </row>
    <row r="53" spans="1:18" ht="16.5" customHeight="1">
      <c r="A53" s="2">
        <v>1.8</v>
      </c>
      <c r="B53" s="3" t="s">
        <v>46</v>
      </c>
      <c r="C53" s="24" t="s">
        <v>44</v>
      </c>
      <c r="D53" s="25">
        <f>F53+E53</f>
        <v>243400</v>
      </c>
      <c r="E53" s="26"/>
      <c r="F53" s="25">
        <v>243400</v>
      </c>
      <c r="G53" s="27">
        <f>I53+J53</f>
        <v>243150</v>
      </c>
      <c r="H53" s="27">
        <f>G53*100/D53</f>
        <v>99.89728841413311</v>
      </c>
      <c r="I53" s="27"/>
      <c r="J53" s="27">
        <f>85470+39540+57980+6720+53440</f>
        <v>243150</v>
      </c>
      <c r="K53" s="27">
        <f>M53+N53</f>
        <v>0</v>
      </c>
      <c r="L53" s="27">
        <f>K53*100/D53</f>
        <v>0</v>
      </c>
      <c r="M53" s="27"/>
      <c r="N53" s="27">
        <f>123200+11000+12600+10920-39540-57980-6720-53440-40</f>
        <v>0</v>
      </c>
      <c r="O53" s="27">
        <f>D53-G53-K53</f>
        <v>250</v>
      </c>
      <c r="P53" s="27">
        <f>O53*100/D53</f>
        <v>0.10271158586688578</v>
      </c>
      <c r="Q53" s="27">
        <f>E53-I53-M53</f>
        <v>0</v>
      </c>
      <c r="R53" s="27">
        <f>F53-J53-N53</f>
        <v>250</v>
      </c>
    </row>
    <row r="54" spans="1:18" ht="16.5" customHeight="1">
      <c r="A54" s="66" t="s">
        <v>120</v>
      </c>
      <c r="B54" s="44" t="s">
        <v>121</v>
      </c>
      <c r="C54" s="47"/>
      <c r="D54" s="48"/>
      <c r="E54" s="49"/>
      <c r="F54" s="48"/>
      <c r="G54" s="50"/>
      <c r="H54" s="51"/>
      <c r="I54" s="50"/>
      <c r="J54" s="50"/>
      <c r="K54" s="50"/>
      <c r="L54" s="51"/>
      <c r="M54" s="50"/>
      <c r="N54" s="50"/>
      <c r="O54" s="50"/>
      <c r="P54" s="51"/>
      <c r="Q54" s="50"/>
      <c r="R54" s="50"/>
    </row>
    <row r="55" spans="1:18" ht="16.5" customHeight="1">
      <c r="A55" s="2">
        <v>1.9</v>
      </c>
      <c r="B55" s="8" t="s">
        <v>56</v>
      </c>
      <c r="C55" s="23" t="s">
        <v>58</v>
      </c>
      <c r="D55" s="25">
        <f>F55+E55</f>
        <v>541391</v>
      </c>
      <c r="E55" s="26">
        <f>636000-102000-11429</f>
        <v>522571</v>
      </c>
      <c r="F55" s="25">
        <f>19000-180</f>
        <v>18820</v>
      </c>
      <c r="G55" s="27">
        <f>I55+J55</f>
        <v>541390.0000000001</v>
      </c>
      <c r="H55" s="75">
        <f>G55*100/D55</f>
        <v>99.99981529061255</v>
      </c>
      <c r="I55" s="27">
        <f>305760.26+164552.92+52257.02</f>
        <v>522570.20000000007</v>
      </c>
      <c r="J55" s="27">
        <f>6009+7210.8+2920+2680</f>
        <v>18819.8</v>
      </c>
      <c r="K55" s="27">
        <f>M55+N55</f>
        <v>-1.8189894035458565E-11</v>
      </c>
      <c r="L55" s="27">
        <f>K55*100/D55</f>
        <v>-3.359844185710247E-15</v>
      </c>
      <c r="M55" s="27">
        <f>534000-305760.26-164552.92-52257.02-11429.8</f>
        <v>-1.8189894035458565E-11</v>
      </c>
      <c r="N55" s="27">
        <f>5773.6-2920-2853.6+2680-2680</f>
        <v>0</v>
      </c>
      <c r="O55" s="27">
        <f>D55-G55-K55</f>
        <v>0.9999999999017746</v>
      </c>
      <c r="P55" s="27">
        <f>O55*100/D55</f>
        <v>0.000184709387467057</v>
      </c>
      <c r="Q55" s="27">
        <f>E55-I55-M55</f>
        <v>0.7999999999483407</v>
      </c>
      <c r="R55" s="27">
        <f>F55-J55-N55</f>
        <v>0.2000000000007276</v>
      </c>
    </row>
    <row r="56" spans="1:18" ht="16.5" customHeight="1">
      <c r="A56" s="7"/>
      <c r="B56" s="3" t="s">
        <v>57</v>
      </c>
      <c r="C56" s="23"/>
      <c r="D56" s="28"/>
      <c r="E56" s="29"/>
      <c r="F56" s="28"/>
      <c r="G56" s="30"/>
      <c r="H56" s="75"/>
      <c r="I56" s="30"/>
      <c r="J56" s="30"/>
      <c r="K56" s="30"/>
      <c r="L56" s="27"/>
      <c r="M56" s="30"/>
      <c r="N56" s="30"/>
      <c r="O56" s="30"/>
      <c r="P56" s="27"/>
      <c r="Q56" s="30"/>
      <c r="R56" s="30"/>
    </row>
    <row r="57" spans="1:18" ht="17.25" customHeight="1">
      <c r="A57" s="7"/>
      <c r="B57" s="44" t="s">
        <v>59</v>
      </c>
      <c r="C57" s="23"/>
      <c r="D57" s="28"/>
      <c r="E57" s="29"/>
      <c r="F57" s="28"/>
      <c r="G57" s="30"/>
      <c r="H57" s="75"/>
      <c r="I57" s="30"/>
      <c r="J57" s="30"/>
      <c r="K57" s="30"/>
      <c r="L57" s="27"/>
      <c r="M57" s="30"/>
      <c r="N57" s="30"/>
      <c r="O57" s="30"/>
      <c r="P57" s="27"/>
      <c r="Q57" s="30"/>
      <c r="R57" s="30"/>
    </row>
    <row r="58" spans="1:18" ht="18.75" customHeight="1">
      <c r="A58" s="43">
        <v>1.1</v>
      </c>
      <c r="B58" s="3" t="s">
        <v>60</v>
      </c>
      <c r="C58" s="23" t="s">
        <v>58</v>
      </c>
      <c r="D58" s="25">
        <f>F58+E58</f>
        <v>773000</v>
      </c>
      <c r="E58" s="26"/>
      <c r="F58" s="25">
        <v>773000</v>
      </c>
      <c r="G58" s="27">
        <f>I58+J58</f>
        <v>772905.41</v>
      </c>
      <c r="H58" s="75">
        <f>G58*100/D58</f>
        <v>99.98776326002587</v>
      </c>
      <c r="I58" s="27"/>
      <c r="J58" s="27">
        <f>9914.85+10816.2+59600.16+134113+9914.85+24937.35+34050+24036+24036+78430+27040.5+32448.6+42964.35+99815+94990+42964.35+13219.8+9614.4</f>
        <v>772905.41</v>
      </c>
      <c r="K58" s="27">
        <f>M58+N58</f>
        <v>0</v>
      </c>
      <c r="L58" s="27">
        <f>K58*100/D58</f>
        <v>0</v>
      </c>
      <c r="M58" s="27"/>
      <c r="N58" s="27"/>
      <c r="O58" s="27">
        <f>D58-G58-K58</f>
        <v>94.5899999999674</v>
      </c>
      <c r="P58" s="27">
        <f>O58*100/D58</f>
        <v>0.012236739974122562</v>
      </c>
      <c r="Q58" s="27">
        <f>E58-I58-M58</f>
        <v>0</v>
      </c>
      <c r="R58" s="27">
        <f>F58-J58-N58</f>
        <v>94.5899999999674</v>
      </c>
    </row>
    <row r="59" spans="1:18" ht="16.5" customHeight="1">
      <c r="A59" s="7"/>
      <c r="B59" s="44" t="s">
        <v>61</v>
      </c>
      <c r="C59" s="23"/>
      <c r="D59" s="28"/>
      <c r="E59" s="29"/>
      <c r="F59" s="28"/>
      <c r="G59" s="30"/>
      <c r="H59" s="75"/>
      <c r="I59" s="30"/>
      <c r="J59" s="30"/>
      <c r="K59" s="30"/>
      <c r="L59" s="27"/>
      <c r="M59" s="30"/>
      <c r="N59" s="30"/>
      <c r="O59" s="30"/>
      <c r="P59" s="27"/>
      <c r="Q59" s="30"/>
      <c r="R59" s="30"/>
    </row>
    <row r="60" spans="1:18" ht="17.25" customHeight="1">
      <c r="A60" s="7">
        <v>1.11</v>
      </c>
      <c r="B60" s="8" t="s">
        <v>62</v>
      </c>
      <c r="C60" s="23" t="s">
        <v>58</v>
      </c>
      <c r="D60" s="25">
        <f>F60+E60</f>
        <v>478000</v>
      </c>
      <c r="E60" s="26"/>
      <c r="F60" s="25">
        <v>478000</v>
      </c>
      <c r="G60" s="27">
        <f>I60+J60</f>
        <v>477868.84</v>
      </c>
      <c r="H60" s="75">
        <f>G60*100/D60</f>
        <v>99.97256066945607</v>
      </c>
      <c r="I60" s="27"/>
      <c r="J60" s="27">
        <f>61910+48757.8+52640+23000+55000+99580+12917.04+20500+6609.9+6609.9+6307.2+19640+2482+3700+8070+43485+6180+480</f>
        <v>477868.84</v>
      </c>
      <c r="K60" s="27">
        <f>M60+N60</f>
        <v>0</v>
      </c>
      <c r="L60" s="27">
        <f>K60*100/D60</f>
        <v>0</v>
      </c>
      <c r="M60" s="27"/>
      <c r="N60" s="27">
        <f>40500-20500+6307.2-6307.2-19640-360</f>
        <v>0</v>
      </c>
      <c r="O60" s="27">
        <f>D60-G60-K60</f>
        <v>131.1599999999744</v>
      </c>
      <c r="P60" s="27">
        <f>O60*100/D60</f>
        <v>0.027439330543927696</v>
      </c>
      <c r="Q60" s="27">
        <f>E60-I60-M60</f>
        <v>0</v>
      </c>
      <c r="R60" s="27">
        <f>F60-J60-N60</f>
        <v>131.1599999999744</v>
      </c>
    </row>
    <row r="61" spans="1:18" ht="17.25" customHeight="1">
      <c r="A61" s="7"/>
      <c r="B61" s="3" t="s">
        <v>63</v>
      </c>
      <c r="C61" s="23"/>
      <c r="D61" s="28"/>
      <c r="E61" s="29"/>
      <c r="F61" s="28"/>
      <c r="G61" s="30"/>
      <c r="H61" s="75"/>
      <c r="I61" s="30"/>
      <c r="J61" s="30"/>
      <c r="K61" s="30"/>
      <c r="L61" s="27"/>
      <c r="M61" s="30"/>
      <c r="N61" s="30"/>
      <c r="O61" s="30"/>
      <c r="P61" s="27"/>
      <c r="Q61" s="30"/>
      <c r="R61" s="30"/>
    </row>
    <row r="62" spans="1:18" ht="16.5" customHeight="1">
      <c r="A62" s="7"/>
      <c r="B62" s="44" t="s">
        <v>66</v>
      </c>
      <c r="C62" s="23"/>
      <c r="D62" s="28"/>
      <c r="E62" s="29"/>
      <c r="F62" s="28"/>
      <c r="G62" s="30"/>
      <c r="H62" s="75"/>
      <c r="I62" s="30"/>
      <c r="J62" s="30"/>
      <c r="K62" s="30"/>
      <c r="L62" s="27"/>
      <c r="M62" s="30"/>
      <c r="N62" s="30"/>
      <c r="O62" s="30"/>
      <c r="P62" s="27"/>
      <c r="Q62" s="30"/>
      <c r="R62" s="30"/>
    </row>
    <row r="63" spans="1:18" ht="16.5" customHeight="1">
      <c r="A63" s="7">
        <v>1.12</v>
      </c>
      <c r="B63" s="3" t="s">
        <v>64</v>
      </c>
      <c r="C63" s="23" t="s">
        <v>58</v>
      </c>
      <c r="D63" s="25">
        <f>F63+E63</f>
        <v>774883</v>
      </c>
      <c r="E63" s="26">
        <f>970000-224992</f>
        <v>745008</v>
      </c>
      <c r="F63" s="25">
        <f>30000-125</f>
        <v>29875</v>
      </c>
      <c r="G63" s="27">
        <f>I63+J63</f>
        <v>774883</v>
      </c>
      <c r="H63" s="75">
        <f>G63*100/D63</f>
        <v>100</v>
      </c>
      <c r="I63" s="27">
        <f>745008</f>
        <v>745008</v>
      </c>
      <c r="J63" s="27">
        <v>29875</v>
      </c>
      <c r="K63" s="27">
        <f>M63+N63</f>
        <v>0</v>
      </c>
      <c r="L63" s="27">
        <f>K63*100/D63</f>
        <v>0</v>
      </c>
      <c r="M63" s="27">
        <f>745008-745008</f>
        <v>0</v>
      </c>
      <c r="N63" s="27"/>
      <c r="O63" s="27">
        <f>D63-G63-K63</f>
        <v>0</v>
      </c>
      <c r="P63" s="27">
        <f>O63*100/D63</f>
        <v>0</v>
      </c>
      <c r="Q63" s="27">
        <f>E63-I63-M63</f>
        <v>0</v>
      </c>
      <c r="R63" s="27">
        <f>F63-J63-N63</f>
        <v>0</v>
      </c>
    </row>
    <row r="64" spans="1:18" ht="15.75" customHeight="1">
      <c r="A64" s="7"/>
      <c r="B64" s="3" t="s">
        <v>65</v>
      </c>
      <c r="C64" s="23"/>
      <c r="D64" s="28"/>
      <c r="E64" s="29"/>
      <c r="F64" s="28"/>
      <c r="G64" s="30"/>
      <c r="H64" s="27"/>
      <c r="I64" s="30"/>
      <c r="J64" s="30"/>
      <c r="K64" s="30"/>
      <c r="L64" s="27"/>
      <c r="M64" s="30"/>
      <c r="N64" s="30"/>
      <c r="O64" s="30"/>
      <c r="P64" s="27"/>
      <c r="Q64" s="30"/>
      <c r="R64" s="30"/>
    </row>
    <row r="65" spans="1:18" ht="16.5" customHeight="1">
      <c r="A65" s="7"/>
      <c r="B65" s="44" t="s">
        <v>67</v>
      </c>
      <c r="C65" s="23"/>
      <c r="D65" s="28"/>
      <c r="E65" s="29"/>
      <c r="F65" s="28"/>
      <c r="G65" s="30"/>
      <c r="H65" s="27"/>
      <c r="I65" s="30"/>
      <c r="J65" s="30"/>
      <c r="K65" s="30"/>
      <c r="L65" s="27"/>
      <c r="M65" s="30"/>
      <c r="N65" s="30"/>
      <c r="O65" s="30"/>
      <c r="P65" s="27"/>
      <c r="Q65" s="30"/>
      <c r="R65" s="30"/>
    </row>
    <row r="66" spans="1:18" ht="18.75" customHeight="1">
      <c r="A66" s="7">
        <v>1.13</v>
      </c>
      <c r="B66" s="3" t="s">
        <v>68</v>
      </c>
      <c r="C66" s="23" t="s">
        <v>58</v>
      </c>
      <c r="D66" s="25">
        <f>F66+E66</f>
        <v>572722</v>
      </c>
      <c r="E66" s="26"/>
      <c r="F66" s="25">
        <f>573000-278</f>
        <v>572722</v>
      </c>
      <c r="G66" s="27">
        <f>I66+J66</f>
        <v>572721.89</v>
      </c>
      <c r="H66" s="75">
        <f>G66*100/D66</f>
        <v>99.99998079347397</v>
      </c>
      <c r="I66" s="27"/>
      <c r="J66" s="27">
        <f>19829.7+19829.7+19829.7+16524.75+3312+27040.5+22533.75+24336.45+250690+10646+32448.6+3304.95+6609.9+14821+9914.85+3303.6+3304.95+13235+11634+3004.5+3943.49+4604.5+48020</f>
        <v>572721.89</v>
      </c>
      <c r="K66" s="27">
        <f>M66+N66</f>
        <v>0</v>
      </c>
      <c r="L66" s="27">
        <f>K66*100/D66</f>
        <v>0</v>
      </c>
      <c r="M66" s="27"/>
      <c r="N66" s="27">
        <f>8007.2-3303.6-4604.5+48100-99.1-48020-80</f>
        <v>0</v>
      </c>
      <c r="O66" s="27">
        <f>D66-G66-K66</f>
        <v>0.10999999998603016</v>
      </c>
      <c r="P66" s="27">
        <f>O66*100/D66</f>
        <v>1.9206526025895665E-05</v>
      </c>
      <c r="Q66" s="27">
        <f>E66-I66-M66</f>
        <v>0</v>
      </c>
      <c r="R66" s="27">
        <f>F66-J66-N66</f>
        <v>0.10999999998603016</v>
      </c>
    </row>
    <row r="67" spans="1:18" ht="15" customHeight="1">
      <c r="A67" s="7"/>
      <c r="B67" s="3" t="s">
        <v>69</v>
      </c>
      <c r="C67" s="23"/>
      <c r="D67" s="28"/>
      <c r="E67" s="29"/>
      <c r="F67" s="28"/>
      <c r="G67" s="30"/>
      <c r="H67" s="75"/>
      <c r="I67" s="30"/>
      <c r="J67" s="30"/>
      <c r="K67" s="30"/>
      <c r="L67" s="27"/>
      <c r="M67" s="30"/>
      <c r="N67" s="30"/>
      <c r="O67" s="30"/>
      <c r="P67" s="27"/>
      <c r="Q67" s="30"/>
      <c r="R67" s="30"/>
    </row>
    <row r="68" spans="1:18" ht="16.5" customHeight="1">
      <c r="A68" s="7"/>
      <c r="B68" s="44" t="s">
        <v>70</v>
      </c>
      <c r="C68" s="23"/>
      <c r="D68" s="28"/>
      <c r="E68" s="29"/>
      <c r="F68" s="28"/>
      <c r="G68" s="30"/>
      <c r="H68" s="75"/>
      <c r="I68" s="30"/>
      <c r="J68" s="30"/>
      <c r="K68" s="30"/>
      <c r="L68" s="27"/>
      <c r="M68" s="30"/>
      <c r="N68" s="30"/>
      <c r="O68" s="30"/>
      <c r="P68" s="27"/>
      <c r="Q68" s="30"/>
      <c r="R68" s="30"/>
    </row>
    <row r="69" spans="1:18" ht="16.5" customHeight="1">
      <c r="A69" s="7">
        <v>1.14</v>
      </c>
      <c r="B69" s="3" t="s">
        <v>71</v>
      </c>
      <c r="C69" s="23" t="s">
        <v>58</v>
      </c>
      <c r="D69" s="25">
        <f>F69+E69</f>
        <v>1432567</v>
      </c>
      <c r="E69" s="26"/>
      <c r="F69" s="25">
        <f>1433400-833</f>
        <v>1432567</v>
      </c>
      <c r="G69" s="27">
        <f>I69+J69</f>
        <v>1432566.83</v>
      </c>
      <c r="H69" s="75">
        <f>G69*100/D69</f>
        <v>99.99998813319029</v>
      </c>
      <c r="I69" s="27"/>
      <c r="J69" s="27">
        <f>67640.15+66769.65+58748.36+67640.15+63133.4+95622.4+64230+63403+161680+58595.8+95722.4+64894+206090+64868+8298+16524.75+16524.75+21340+77070+16524.75+15022.5+16412.6+18300+18060+1126.17+8326</f>
        <v>1432566.83</v>
      </c>
      <c r="K69" s="27">
        <f>M69+N69</f>
        <v>0</v>
      </c>
      <c r="L69" s="27">
        <f>K69*100/D69</f>
        <v>0</v>
      </c>
      <c r="M69" s="27"/>
      <c r="N69" s="27">
        <f>191344.8-95622.4-95722.4+21540+16412.6-21340-200-16412.6</f>
        <v>0</v>
      </c>
      <c r="O69" s="27">
        <f>D69-G69-K69</f>
        <v>0.1699999999254942</v>
      </c>
      <c r="P69" s="27">
        <f>O69*100/D69</f>
        <v>1.1866809714693567E-05</v>
      </c>
      <c r="Q69" s="27">
        <f>E69-I69-M69</f>
        <v>0</v>
      </c>
      <c r="R69" s="27">
        <f>F69-J69-N69</f>
        <v>0.1699999999254942</v>
      </c>
    </row>
    <row r="70" spans="1:18" ht="16.5" customHeight="1">
      <c r="A70" s="7"/>
      <c r="B70" s="8" t="s">
        <v>72</v>
      </c>
      <c r="C70" s="23"/>
      <c r="D70" s="28"/>
      <c r="E70" s="29"/>
      <c r="F70" s="28"/>
      <c r="G70" s="30"/>
      <c r="H70" s="75"/>
      <c r="I70" s="30"/>
      <c r="J70" s="30"/>
      <c r="K70" s="30"/>
      <c r="L70" s="27"/>
      <c r="M70" s="30"/>
      <c r="N70" s="30"/>
      <c r="O70" s="30"/>
      <c r="P70" s="27"/>
      <c r="Q70" s="30"/>
      <c r="R70" s="30"/>
    </row>
    <row r="71" spans="1:18" ht="16.5" customHeight="1">
      <c r="A71" s="20"/>
      <c r="B71" s="19" t="s">
        <v>73</v>
      </c>
      <c r="C71" s="32"/>
      <c r="D71" s="33"/>
      <c r="E71" s="34"/>
      <c r="F71" s="33"/>
      <c r="G71" s="35"/>
      <c r="H71" s="128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9" ht="16.5" customHeight="1">
      <c r="A72" s="36"/>
      <c r="B72" s="37" t="s">
        <v>74</v>
      </c>
      <c r="C72" s="38"/>
      <c r="D72" s="39"/>
      <c r="E72" s="40"/>
      <c r="F72" s="39"/>
      <c r="G72" s="41"/>
      <c r="H72" s="129"/>
      <c r="I72" s="41"/>
      <c r="J72" s="41"/>
      <c r="K72" s="41"/>
      <c r="L72" s="42"/>
      <c r="M72" s="41"/>
      <c r="N72" s="41"/>
      <c r="O72" s="41"/>
      <c r="P72" s="42"/>
      <c r="Q72" s="41"/>
      <c r="R72" s="41"/>
      <c r="S72" s="118">
        <v>3</v>
      </c>
    </row>
    <row r="73" spans="1:18" ht="16.5" customHeight="1">
      <c r="A73" s="7">
        <v>1.15</v>
      </c>
      <c r="B73" s="3" t="s">
        <v>75</v>
      </c>
      <c r="C73" s="23" t="s">
        <v>58</v>
      </c>
      <c r="D73" s="25">
        <f>F73+E73</f>
        <v>477554</v>
      </c>
      <c r="E73" s="26"/>
      <c r="F73" s="25">
        <f>478000-446</f>
        <v>477554</v>
      </c>
      <c r="G73" s="27">
        <f>I73+J73</f>
        <v>477553.51</v>
      </c>
      <c r="H73" s="75">
        <f>G73*100/D73</f>
        <v>99.99989739380258</v>
      </c>
      <c r="I73" s="27"/>
      <c r="J73" s="27">
        <f>19206+23474+6720+90947.71+30688+71420+21340+6936.3+21340+14717.5+10420+30353.5+36424.2+40153+5880+6609.9+3304.95+9914.85+3203.6+24500</f>
        <v>477553.51</v>
      </c>
      <c r="K73" s="27">
        <f>M73+N73</f>
        <v>0</v>
      </c>
      <c r="L73" s="27">
        <f>K73*100/D73</f>
        <v>0</v>
      </c>
      <c r="M73" s="27"/>
      <c r="N73" s="27">
        <f>5040+2520+6317.5+5040+3360-6720-840+3360+2520+40422.4-14717.5-40153-5880+3303.6-269.4+24500-3203.6-100-24500</f>
        <v>0</v>
      </c>
      <c r="O73" s="27">
        <f>D73-G73-K73</f>
        <v>0.4899999999906868</v>
      </c>
      <c r="P73" s="27">
        <f>O73*100/D73</f>
        <v>0.00010260619741237363</v>
      </c>
      <c r="Q73" s="27">
        <f>E73-I73-M73</f>
        <v>0</v>
      </c>
      <c r="R73" s="27">
        <f>F73-J73-N73</f>
        <v>0.4899999999906868</v>
      </c>
    </row>
    <row r="74" spans="1:18" ht="18" customHeight="1">
      <c r="A74" s="2"/>
      <c r="B74" s="3" t="s">
        <v>76</v>
      </c>
      <c r="C74" s="24"/>
      <c r="D74" s="25"/>
      <c r="E74" s="26"/>
      <c r="F74" s="25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6.5" customHeight="1">
      <c r="A75" s="46"/>
      <c r="B75" s="44" t="s">
        <v>77</v>
      </c>
      <c r="C75" s="47"/>
      <c r="D75" s="48"/>
      <c r="E75" s="49"/>
      <c r="F75" s="48"/>
      <c r="G75" s="50"/>
      <c r="H75" s="51"/>
      <c r="I75" s="50"/>
      <c r="J75" s="50"/>
      <c r="K75" s="50"/>
      <c r="L75" s="51"/>
      <c r="M75" s="50"/>
      <c r="N75" s="50"/>
      <c r="O75" s="50"/>
      <c r="P75" s="51"/>
      <c r="Q75" s="50"/>
      <c r="R75" s="50"/>
    </row>
    <row r="76" spans="1:18" ht="16.5" customHeight="1">
      <c r="A76" s="7">
        <v>1.16</v>
      </c>
      <c r="B76" s="3" t="s">
        <v>78</v>
      </c>
      <c r="C76" s="23" t="s">
        <v>58</v>
      </c>
      <c r="D76" s="25">
        <f>F76+E76</f>
        <v>861000</v>
      </c>
      <c r="E76" s="26"/>
      <c r="F76" s="25">
        <v>861000</v>
      </c>
      <c r="G76" s="27">
        <f>I76+J76</f>
        <v>860987.9099999999</v>
      </c>
      <c r="H76" s="75">
        <f>G76*100/D76</f>
        <v>99.99859581881532</v>
      </c>
      <c r="I76" s="27"/>
      <c r="J76" s="27">
        <f>19829.7+19829.7+6008.1+4770+58124.98+45968.85+55282.8+102711.8+51076.5+158516+69604+50175.15+91096.5+24720+25830+77443.83</f>
        <v>860987.9099999999</v>
      </c>
      <c r="K76" s="27">
        <f>M76+N76</f>
        <v>-1.4551915228366852E-11</v>
      </c>
      <c r="L76" s="27">
        <f>K76*100/D76</f>
        <v>-1.6901179127023057E-15</v>
      </c>
      <c r="M76" s="27"/>
      <c r="N76" s="27">
        <f>6008.1+193808.3-6008.1-102711.8-91096.5+36960-24720-12240</f>
        <v>-1.4551915228366852E-11</v>
      </c>
      <c r="O76" s="27">
        <f>D76-G76-K76</f>
        <v>12.090000000098371</v>
      </c>
      <c r="P76" s="27">
        <f>O76*100/D76</f>
        <v>0.0014041811846804148</v>
      </c>
      <c r="Q76" s="27">
        <f>E76-I76-M76</f>
        <v>0</v>
      </c>
      <c r="R76" s="27">
        <f>F76-J76-N76</f>
        <v>12.090000000098371</v>
      </c>
    </row>
    <row r="77" spans="1:18" ht="18" customHeight="1">
      <c r="A77" s="7"/>
      <c r="B77" s="3" t="s">
        <v>79</v>
      </c>
      <c r="C77" s="23"/>
      <c r="D77" s="28"/>
      <c r="E77" s="29"/>
      <c r="F77" s="28"/>
      <c r="G77" s="30"/>
      <c r="H77" s="27"/>
      <c r="I77" s="30"/>
      <c r="J77" s="30"/>
      <c r="K77" s="30"/>
      <c r="L77" s="27"/>
      <c r="M77" s="30"/>
      <c r="N77" s="30"/>
      <c r="O77" s="30"/>
      <c r="P77" s="27"/>
      <c r="Q77" s="30"/>
      <c r="R77" s="30"/>
    </row>
    <row r="78" spans="1:18" ht="16.5" customHeight="1">
      <c r="A78" s="7"/>
      <c r="B78" s="44" t="s">
        <v>80</v>
      </c>
      <c r="C78" s="23"/>
      <c r="D78" s="28"/>
      <c r="E78" s="29"/>
      <c r="F78" s="28"/>
      <c r="G78" s="30"/>
      <c r="H78" s="27"/>
      <c r="I78" s="30"/>
      <c r="J78" s="30"/>
      <c r="K78" s="30"/>
      <c r="L78" s="27"/>
      <c r="M78" s="30"/>
      <c r="N78" s="30"/>
      <c r="O78" s="30"/>
      <c r="P78" s="27"/>
      <c r="Q78" s="30"/>
      <c r="R78" s="30"/>
    </row>
    <row r="79" spans="1:18" ht="16.5" customHeight="1">
      <c r="A79" s="7">
        <v>1.17</v>
      </c>
      <c r="B79" s="3" t="s">
        <v>81</v>
      </c>
      <c r="C79" s="23" t="s">
        <v>58</v>
      </c>
      <c r="D79" s="25">
        <f>F79+E79</f>
        <v>669000</v>
      </c>
      <c r="E79" s="26"/>
      <c r="F79" s="25">
        <v>669000</v>
      </c>
      <c r="G79" s="27">
        <f>I79+J79</f>
        <v>668984.6799999999</v>
      </c>
      <c r="H79" s="75">
        <f>G79*100/D79</f>
        <v>99.99771001494767</v>
      </c>
      <c r="I79" s="27"/>
      <c r="J79" s="27">
        <f>23134.65+25237.8+86960+45638.28+21932.85+23134.65+89280+21031.5+21031.5+25933.3+18027+21632.4+21027+23134.65+23134.65+27327+7877+91387+3780+21331.95+21031.5+5980</f>
        <v>668984.6799999999</v>
      </c>
      <c r="K79" s="27">
        <f>M79+N79</f>
        <v>-7.275957614183426E-12</v>
      </c>
      <c r="L79" s="27">
        <f>K79*100/D79</f>
        <v>-1.0875870873218874E-15</v>
      </c>
      <c r="M79" s="27"/>
      <c r="N79" s="27">
        <f>47650.4+21027-25933.3-21717.1-21027+21027+5040+6300-27327-3780-1260+3360+2620-5980</f>
        <v>-7.275957614183426E-12</v>
      </c>
      <c r="O79" s="27">
        <f>D79-G79-K79</f>
        <v>15.320000000072469</v>
      </c>
      <c r="P79" s="27">
        <f>O79*100/D79</f>
        <v>0.0022899850523277233</v>
      </c>
      <c r="Q79" s="27">
        <f>E79-I79-M79</f>
        <v>0</v>
      </c>
      <c r="R79" s="27">
        <f>F79-J79-N79</f>
        <v>15.320000000072469</v>
      </c>
    </row>
    <row r="80" spans="1:18" ht="16.5" customHeight="1">
      <c r="A80" s="7"/>
      <c r="B80" s="3" t="s">
        <v>82</v>
      </c>
      <c r="C80" s="23"/>
      <c r="D80" s="28"/>
      <c r="E80" s="29"/>
      <c r="F80" s="28"/>
      <c r="G80" s="30"/>
      <c r="H80" s="27"/>
      <c r="I80" s="30"/>
      <c r="J80" s="30"/>
      <c r="K80" s="30"/>
      <c r="L80" s="27"/>
      <c r="M80" s="30"/>
      <c r="N80" s="30"/>
      <c r="O80" s="30"/>
      <c r="P80" s="27"/>
      <c r="Q80" s="30"/>
      <c r="R80" s="30"/>
    </row>
    <row r="81" spans="1:18" ht="16.5" customHeight="1">
      <c r="A81" s="7"/>
      <c r="B81" s="5" t="s">
        <v>83</v>
      </c>
      <c r="C81" s="23"/>
      <c r="D81" s="28"/>
      <c r="E81" s="29"/>
      <c r="F81" s="28"/>
      <c r="G81" s="30"/>
      <c r="H81" s="27"/>
      <c r="I81" s="30"/>
      <c r="J81" s="30"/>
      <c r="K81" s="30"/>
      <c r="L81" s="27"/>
      <c r="M81" s="30"/>
      <c r="N81" s="30"/>
      <c r="O81" s="30"/>
      <c r="P81" s="27"/>
      <c r="Q81" s="30"/>
      <c r="R81" s="30"/>
    </row>
    <row r="82" spans="1:18" ht="18.75" customHeight="1">
      <c r="A82" s="7">
        <v>1.18</v>
      </c>
      <c r="B82" s="3" t="s">
        <v>84</v>
      </c>
      <c r="C82" s="23" t="s">
        <v>58</v>
      </c>
      <c r="D82" s="25">
        <f>F82+E82</f>
        <v>335000</v>
      </c>
      <c r="E82" s="26"/>
      <c r="F82" s="25">
        <v>335000</v>
      </c>
      <c r="G82" s="27">
        <f>I82+J82</f>
        <v>334953.07</v>
      </c>
      <c r="H82" s="27">
        <f>G82*100/D82</f>
        <v>99.98599104477611</v>
      </c>
      <c r="I82" s="27"/>
      <c r="J82" s="27">
        <f>9013.5+9614.4+21932.85+29143.65+59800+95985+30194.87+25237.8+24036+29995</f>
        <v>334953.07</v>
      </c>
      <c r="K82" s="27">
        <f>M82+N82</f>
        <v>0</v>
      </c>
      <c r="L82" s="27">
        <f>K82*100/D82</f>
        <v>0</v>
      </c>
      <c r="M82" s="27"/>
      <c r="N82" s="27"/>
      <c r="O82" s="27">
        <f>D82-G82-K82</f>
        <v>46.929999999993015</v>
      </c>
      <c r="P82" s="27">
        <f>O82*100/D82</f>
        <v>0.014008955223878511</v>
      </c>
      <c r="Q82" s="27">
        <f>E82-I82-M82</f>
        <v>0</v>
      </c>
      <c r="R82" s="27">
        <f>F82-J82-N82</f>
        <v>46.929999999993015</v>
      </c>
    </row>
    <row r="83" spans="1:18" ht="16.5" customHeight="1">
      <c r="A83" s="7"/>
      <c r="B83" s="3" t="s">
        <v>85</v>
      </c>
      <c r="C83" s="23"/>
      <c r="D83" s="28"/>
      <c r="E83" s="29"/>
      <c r="F83" s="28"/>
      <c r="G83" s="30"/>
      <c r="H83" s="27"/>
      <c r="I83" s="30"/>
      <c r="J83" s="30"/>
      <c r="K83" s="30"/>
      <c r="L83" s="27"/>
      <c r="M83" s="30"/>
      <c r="N83" s="30"/>
      <c r="O83" s="30"/>
      <c r="P83" s="27"/>
      <c r="Q83" s="30"/>
      <c r="R83" s="30"/>
    </row>
    <row r="84" spans="1:18" ht="16.5" customHeight="1">
      <c r="A84" s="7"/>
      <c r="B84" s="5" t="s">
        <v>86</v>
      </c>
      <c r="C84" s="23"/>
      <c r="D84" s="28"/>
      <c r="E84" s="29"/>
      <c r="F84" s="28"/>
      <c r="G84" s="30"/>
      <c r="H84" s="27"/>
      <c r="I84" s="30"/>
      <c r="J84" s="30"/>
      <c r="K84" s="30"/>
      <c r="L84" s="27"/>
      <c r="M84" s="30"/>
      <c r="N84" s="30"/>
      <c r="O84" s="30"/>
      <c r="P84" s="27"/>
      <c r="Q84" s="30"/>
      <c r="R84" s="30"/>
    </row>
    <row r="85" spans="1:18" ht="17.25" customHeight="1">
      <c r="A85" s="43">
        <v>1.19</v>
      </c>
      <c r="B85" s="3" t="s">
        <v>87</v>
      </c>
      <c r="C85" s="23" t="s">
        <v>58</v>
      </c>
      <c r="D85" s="25">
        <f>F85+E85</f>
        <v>329853</v>
      </c>
      <c r="E85" s="26"/>
      <c r="F85" s="25">
        <f>330000-147</f>
        <v>329853</v>
      </c>
      <c r="G85" s="27">
        <f>I85+J85</f>
        <v>329852.95999999996</v>
      </c>
      <c r="H85" s="75">
        <f>G85*100/D85</f>
        <v>99.99998787338602</v>
      </c>
      <c r="I85" s="27"/>
      <c r="J85" s="27">
        <f>18899+17280+28486.21+19829.7+2520+13277+15540+29744.55+28542.75+34611.4+27040.5+27040.5+2520+12919.35+9999+12125+17460+6009+6009</f>
        <v>329852.95999999996</v>
      </c>
      <c r="K85" s="27">
        <f>M85+N85</f>
        <v>0</v>
      </c>
      <c r="L85" s="27">
        <f>K85*100/D85</f>
        <v>0</v>
      </c>
      <c r="M85" s="27"/>
      <c r="N85" s="27">
        <f>2520+2520+40843.2+22825.2-2520+31540.5+2520-34611.4-11610.8-19966.2-31540.5-2520</f>
        <v>0</v>
      </c>
      <c r="O85" s="27">
        <f>D85-G85-K85</f>
        <v>0.0400000000372529</v>
      </c>
      <c r="P85" s="27">
        <f>O85*100/D85</f>
        <v>1.2126613987822727E-05</v>
      </c>
      <c r="Q85" s="27">
        <f>E85-I85-M85</f>
        <v>0</v>
      </c>
      <c r="R85" s="27">
        <f>F85-J85-N85</f>
        <v>0.0400000000372529</v>
      </c>
    </row>
    <row r="86" spans="1:18" ht="16.5" customHeight="1">
      <c r="A86" s="2"/>
      <c r="B86" s="55" t="s">
        <v>88</v>
      </c>
      <c r="C86" s="24"/>
      <c r="D86" s="25"/>
      <c r="E86" s="26"/>
      <c r="F86" s="2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6.5" customHeight="1">
      <c r="A87" s="46"/>
      <c r="B87" s="44" t="s">
        <v>89</v>
      </c>
      <c r="C87" s="47"/>
      <c r="D87" s="48"/>
      <c r="E87" s="49"/>
      <c r="F87" s="48"/>
      <c r="G87" s="50"/>
      <c r="H87" s="51"/>
      <c r="I87" s="50"/>
      <c r="J87" s="50"/>
      <c r="K87" s="50"/>
      <c r="L87" s="51"/>
      <c r="M87" s="50"/>
      <c r="N87" s="50"/>
      <c r="O87" s="50"/>
      <c r="P87" s="51"/>
      <c r="Q87" s="50"/>
      <c r="R87" s="50"/>
    </row>
    <row r="88" spans="1:18" ht="16.5" customHeight="1">
      <c r="A88" s="43">
        <v>1.2</v>
      </c>
      <c r="B88" s="3" t="s">
        <v>90</v>
      </c>
      <c r="C88" s="23" t="s">
        <v>58</v>
      </c>
      <c r="D88" s="25">
        <f>F88+E88</f>
        <v>1275532</v>
      </c>
      <c r="E88" s="26">
        <f>910000-199468</f>
        <v>710532</v>
      </c>
      <c r="F88" s="25">
        <v>565000</v>
      </c>
      <c r="G88" s="27">
        <f>I88+J88</f>
        <v>1275468.25</v>
      </c>
      <c r="H88" s="75">
        <f>G88*100/D88</f>
        <v>99.99500208540437</v>
      </c>
      <c r="I88" s="27">
        <f>710532</f>
        <v>710532</v>
      </c>
      <c r="J88" s="27">
        <f>13520.25+16524.75+20022.5+30045+23366.25+30045+55558.5+43905+129922+18027+16524.75+16524.75+2403.6+3304.95+10170+8097+3304.95+72530+47920+3220</f>
        <v>564936.25</v>
      </c>
      <c r="K88" s="27">
        <f>M88+N88</f>
        <v>0</v>
      </c>
      <c r="L88" s="27">
        <f>K88*100/D88</f>
        <v>0</v>
      </c>
      <c r="M88" s="27">
        <f>710532-710532</f>
        <v>0</v>
      </c>
      <c r="N88" s="27">
        <f>54058.5-20022.5+21522.5-55558.5+43620+5060-47920-340-420</f>
        <v>0</v>
      </c>
      <c r="O88" s="27">
        <f>D88-G88-K88</f>
        <v>63.75</v>
      </c>
      <c r="P88" s="27">
        <f>O88*100/D88</f>
        <v>0.00499791459563539</v>
      </c>
      <c r="Q88" s="27">
        <f>E88-I88-M88</f>
        <v>0</v>
      </c>
      <c r="R88" s="27">
        <f>F88-J88-N88</f>
        <v>63.75</v>
      </c>
    </row>
    <row r="89" spans="1:18" ht="16.5" customHeight="1">
      <c r="A89" s="7"/>
      <c r="B89" s="44" t="s">
        <v>91</v>
      </c>
      <c r="C89" s="23"/>
      <c r="D89" s="28"/>
      <c r="E89" s="29"/>
      <c r="F89" s="28"/>
      <c r="G89" s="30"/>
      <c r="H89" s="27"/>
      <c r="I89" s="30"/>
      <c r="J89" s="30"/>
      <c r="K89" s="30"/>
      <c r="L89" s="27"/>
      <c r="M89" s="30"/>
      <c r="N89" s="30"/>
      <c r="O89" s="30"/>
      <c r="P89" s="27"/>
      <c r="Q89" s="30"/>
      <c r="R89" s="30"/>
    </row>
    <row r="90" spans="1:18" ht="16.5" customHeight="1">
      <c r="A90" s="7">
        <v>1.21</v>
      </c>
      <c r="B90" s="3" t="s">
        <v>92</v>
      </c>
      <c r="C90" s="23" t="s">
        <v>58</v>
      </c>
      <c r="D90" s="25">
        <f>F90+E90</f>
        <v>1400000</v>
      </c>
      <c r="E90" s="26">
        <f>427000-53000</f>
        <v>374000</v>
      </c>
      <c r="F90" s="25">
        <v>1026000</v>
      </c>
      <c r="G90" s="27">
        <f>I90+J90</f>
        <v>1399934.4</v>
      </c>
      <c r="H90" s="75">
        <f>G90*100/D90</f>
        <v>99.99531428571429</v>
      </c>
      <c r="I90" s="27">
        <f>374000</f>
        <v>374000</v>
      </c>
      <c r="J90" s="27">
        <f>23134.65+23134.65+4200+14018+3000+63996+77303.52+30045+3482+45668.4+98098+124200+50175.15+8040+124200+48372.45+42063+52879.2+17426.1+79770+34600+51225+1395.28+5508</f>
        <v>1025934.3999999999</v>
      </c>
      <c r="K90" s="27">
        <f>M90+N90</f>
        <v>0</v>
      </c>
      <c r="L90" s="27">
        <f>K90*100/D90</f>
        <v>0</v>
      </c>
      <c r="M90" s="27">
        <f>374000-374000</f>
        <v>0</v>
      </c>
      <c r="N90" s="27">
        <f>4200+14018.9-4200-14018-0.9+248400+2400+5640-124200-8040-124200+37520-34600-2920</f>
        <v>0</v>
      </c>
      <c r="O90" s="27">
        <f>D90-G90-K90</f>
        <v>65.60000000009313</v>
      </c>
      <c r="P90" s="27">
        <f>O90*100/D90</f>
        <v>0.004685714285720938</v>
      </c>
      <c r="Q90" s="27">
        <f>E90-I90-M90</f>
        <v>0</v>
      </c>
      <c r="R90" s="27">
        <f>F90-J90-N90</f>
        <v>65.60000000009313</v>
      </c>
    </row>
    <row r="91" spans="1:18" ht="16.5" customHeight="1">
      <c r="A91" s="68" t="s">
        <v>118</v>
      </c>
      <c r="B91" s="44" t="s">
        <v>116</v>
      </c>
      <c r="C91" s="23"/>
      <c r="D91" s="25"/>
      <c r="E91" s="26"/>
      <c r="F91" s="25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6.5" customHeight="1">
      <c r="A92" s="7">
        <v>1.22</v>
      </c>
      <c r="B92" s="3" t="s">
        <v>114</v>
      </c>
      <c r="C92" s="23" t="s">
        <v>117</v>
      </c>
      <c r="D92" s="25">
        <f>F92+E92</f>
        <v>956000</v>
      </c>
      <c r="E92" s="26"/>
      <c r="F92" s="25">
        <v>956000</v>
      </c>
      <c r="G92" s="27">
        <f>I92+J92</f>
        <v>955981.2999999999</v>
      </c>
      <c r="H92" s="75">
        <f>G92*100/D92</f>
        <v>99.99804393305439</v>
      </c>
      <c r="I92" s="27"/>
      <c r="J92" s="27">
        <f>33049.5+26740.05+70133.7+27040.5+33994.8+84000+31790.4+27040.5+22875+249400+32448.6+34060.5+10080+44767.05+46269.3+36380.5+12318.45+33656+13520.25+62596.2+23820</f>
        <v>955981.2999999999</v>
      </c>
      <c r="K92" s="27">
        <f>M92+N92</f>
        <v>0</v>
      </c>
      <c r="L92" s="27">
        <f>K92*100/D92</f>
        <v>0</v>
      </c>
      <c r="M92" s="27"/>
      <c r="N92" s="27">
        <f>68072+31540.5-31790.4+10080+2520-36281.6-34060.5-10080+31340.5+5040+35400+3360+7980+6720-36380.5+10816.2-62596.2-1680</f>
        <v>0</v>
      </c>
      <c r="O92" s="27">
        <f>D92-G92-K92</f>
        <v>18.70000000006985</v>
      </c>
      <c r="P92" s="27">
        <f>O92*100/D92</f>
        <v>0.001956066945614001</v>
      </c>
      <c r="Q92" s="27">
        <f>E92-I92-M92</f>
        <v>0</v>
      </c>
      <c r="R92" s="27">
        <f>F92-J92-N92</f>
        <v>18.70000000006985</v>
      </c>
    </row>
    <row r="93" spans="1:18" ht="16.5" customHeight="1">
      <c r="A93" s="7"/>
      <c r="B93" s="3" t="s">
        <v>115</v>
      </c>
      <c r="C93" s="23"/>
      <c r="D93" s="25"/>
      <c r="E93" s="26"/>
      <c r="F93" s="25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6.5" customHeight="1">
      <c r="A94" s="68" t="s">
        <v>122</v>
      </c>
      <c r="B94" s="44" t="s">
        <v>123</v>
      </c>
      <c r="C94" s="23"/>
      <c r="D94" s="25"/>
      <c r="E94" s="26"/>
      <c r="F94" s="25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8.75" customHeight="1">
      <c r="A95" s="7">
        <v>1.23</v>
      </c>
      <c r="B95" s="3" t="s">
        <v>124</v>
      </c>
      <c r="C95" s="23" t="s">
        <v>125</v>
      </c>
      <c r="D95" s="25">
        <f>F95+E95</f>
        <v>1402000</v>
      </c>
      <c r="E95" s="26">
        <v>923000</v>
      </c>
      <c r="F95" s="25">
        <v>479000</v>
      </c>
      <c r="G95" s="27">
        <f>I95+J95</f>
        <v>1401967.7</v>
      </c>
      <c r="H95" s="75">
        <f>G95*100/D95</f>
        <v>99.99769614835948</v>
      </c>
      <c r="I95" s="27">
        <f>923000</f>
        <v>923000</v>
      </c>
      <c r="J95" s="27">
        <f>58371+33863.15+83848+30045+30045+24036+28843.2+29744.55+21632.4+32312.4+62027+44200</f>
        <v>478967.7</v>
      </c>
      <c r="K95" s="27">
        <f>M95+N95</f>
        <v>0</v>
      </c>
      <c r="L95" s="27">
        <f>K95*100/D95</f>
        <v>0</v>
      </c>
      <c r="M95" s="27">
        <f>923000-923000</f>
        <v>0</v>
      </c>
      <c r="N95" s="27">
        <f>32312.4-32312.4+44200-44200</f>
        <v>0</v>
      </c>
      <c r="O95" s="27">
        <f>D95-G95-K95</f>
        <v>32.300000000046566</v>
      </c>
      <c r="P95" s="27">
        <f>O95*100/D95</f>
        <v>0.0023038516405168735</v>
      </c>
      <c r="Q95" s="27">
        <f>E95-I95-M95</f>
        <v>0</v>
      </c>
      <c r="R95" s="27">
        <f>F95-J95-N95</f>
        <v>32.29999999998836</v>
      </c>
    </row>
    <row r="96" spans="1:18" ht="16.5" customHeight="1">
      <c r="A96" s="68"/>
      <c r="B96" s="44" t="s">
        <v>126</v>
      </c>
      <c r="C96" s="23"/>
      <c r="D96" s="25"/>
      <c r="E96" s="26"/>
      <c r="F96" s="25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8.75" customHeight="1">
      <c r="A97" s="7">
        <v>1.24</v>
      </c>
      <c r="B97" s="3" t="s">
        <v>127</v>
      </c>
      <c r="C97" s="23" t="s">
        <v>125</v>
      </c>
      <c r="D97" s="25">
        <f>F97+E97</f>
        <v>3327230</v>
      </c>
      <c r="E97" s="26">
        <f>3288000+900-10670</f>
        <v>3278230</v>
      </c>
      <c r="F97" s="25">
        <v>49000</v>
      </c>
      <c r="G97" s="27">
        <f>I97+J97</f>
        <v>3327171.9899999998</v>
      </c>
      <c r="H97" s="75">
        <f>G97*100/D97</f>
        <v>99.99825650766553</v>
      </c>
      <c r="I97" s="27">
        <f>1460782.48+1489624.42+327822.99</f>
        <v>3278229.8899999997</v>
      </c>
      <c r="J97" s="27">
        <f>16524.75+16524.75+15892.6</f>
        <v>48942.1</v>
      </c>
      <c r="K97" s="27">
        <f>M97+N97</f>
        <v>0</v>
      </c>
      <c r="L97" s="27">
        <f>K97*100/D97</f>
        <v>0</v>
      </c>
      <c r="M97" s="27">
        <f>3278229.89-1460782.48-1489624.42-327822.99</f>
        <v>0</v>
      </c>
      <c r="N97" s="27">
        <f>15892.6-15892.6</f>
        <v>0</v>
      </c>
      <c r="O97" s="27">
        <f>D97-G97-K97</f>
        <v>58.010000000242144</v>
      </c>
      <c r="P97" s="27">
        <f>O97*100/D97</f>
        <v>0.001743492334471682</v>
      </c>
      <c r="Q97" s="27">
        <f>E97-I97-M97</f>
        <v>0.11000000033527613</v>
      </c>
      <c r="R97" s="27">
        <f>F97-J97-N97</f>
        <v>57.900000000001455</v>
      </c>
    </row>
    <row r="98" spans="1:18" ht="18.75" customHeight="1">
      <c r="A98" s="7"/>
      <c r="B98" s="3" t="s">
        <v>128</v>
      </c>
      <c r="C98" s="23" t="s">
        <v>130</v>
      </c>
      <c r="D98" s="25"/>
      <c r="E98" s="26"/>
      <c r="F98" s="2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7.25" customHeight="1">
      <c r="A99" s="2"/>
      <c r="B99" s="31" t="s">
        <v>37</v>
      </c>
      <c r="C99" s="111"/>
      <c r="D99" s="112">
        <f>D38+D40+D42+D44+D46+D49+D51+D53+D55+D58+D60+D63+D66+D69+D73+D76+D79+D82+D85+D88+D90+D92+D95+D97</f>
        <v>24378869</v>
      </c>
      <c r="E99" s="113">
        <f>E38+E40+E42+E44+E46+E49+E51+E53+E55+E58+E60+E63+E66+E69+E73+E76+E79+E82+E85+E88+E90+E92+E95+E97</f>
        <v>6953301</v>
      </c>
      <c r="F99" s="112">
        <f>F38+F40+F42+F44+F46+F49+F51+F53+F55+F58+F60+F63+F66+F69+F73+F76+F79+F82+F85+F88+F90+F92+F95+F97</f>
        <v>17425568</v>
      </c>
      <c r="G99" s="114">
        <f>J99+I99</f>
        <v>24376364.3</v>
      </c>
      <c r="H99" s="98">
        <f>G99*100/D99</f>
        <v>99.98972593847566</v>
      </c>
      <c r="I99" s="114">
        <f>I38+I40+I42+I44+I46+I49+I51+I53+I55+I58+I60+I63+I66+I69+I73+I76+I79+I82+I85+I88+I90+I92+I95+I97</f>
        <v>6953299.34</v>
      </c>
      <c r="J99" s="98">
        <f>J38+J40+J42+J44+J46+J49+J51+J53+J55+J58+J60+J63+J66+J69+J73+J76+J79+J82+J85+J88+J90+J92+J95+J97</f>
        <v>17423064.96</v>
      </c>
      <c r="K99" s="114">
        <f>N99+M99</f>
        <v>-1.382716163789155E-11</v>
      </c>
      <c r="L99" s="98">
        <f>K99*100/D99</f>
        <v>-5.671781425910918E-17</v>
      </c>
      <c r="M99" s="114">
        <f>M38+M40+M42+M44+M46+M49+M51+M53+M55+M58+M60+M63+M66+M69+M73+M76+M79+M82+M85+M88+M90+M92+M95+M97</f>
        <v>-1.8189894035458565E-11</v>
      </c>
      <c r="N99" s="114">
        <f>N38+N40+N42+N44+N46+N49+N51+N53+N55+N58+N60+N63+N66+N69+N73+N76+N79+N82+N85+N88+N90+N92+N95+N97</f>
        <v>4.362732397567015E-12</v>
      </c>
      <c r="O99" s="114">
        <f>R99+Q99</f>
        <v>2504.7000000002254</v>
      </c>
      <c r="P99" s="98">
        <f>O99*100/D99</f>
        <v>0.010274061524348095</v>
      </c>
      <c r="Q99" s="114">
        <f>Q38+Q40+Q42+Q44+Q46+Q49+Q51+Q53+Q55+Q58+Q60+Q63+Q66+Q69+Q73+Q76+Q79+Q82+Q85+Q88+Q90+Q92+Q95+Q97</f>
        <v>1.6600000002836168</v>
      </c>
      <c r="R99" s="114">
        <f>R38+R40+R42+R44+R46+R49+R51+R53+R55+R58+R60+R63+R66+R69+R73+R76+R79+R82+R85+R88+R90+R92+R95+R97</f>
        <v>2503.0399999999418</v>
      </c>
    </row>
    <row r="100" spans="1:18" ht="17.25" customHeight="1">
      <c r="A100" s="2"/>
      <c r="B100" s="5" t="s">
        <v>111</v>
      </c>
      <c r="C100" s="3"/>
      <c r="D100" s="18"/>
      <c r="E100" s="3"/>
      <c r="F100" s="18"/>
      <c r="G100" s="3"/>
      <c r="H100" s="3"/>
      <c r="I100" s="3"/>
      <c r="J100" s="4"/>
      <c r="K100" s="3"/>
      <c r="L100" s="3"/>
      <c r="M100" s="3"/>
      <c r="N100" s="3"/>
      <c r="O100" s="3"/>
      <c r="P100" s="3"/>
      <c r="Q100" s="3"/>
      <c r="R100" s="3"/>
    </row>
    <row r="101" spans="1:18" ht="16.5" customHeight="1">
      <c r="A101" s="2">
        <v>1</v>
      </c>
      <c r="B101" s="3" t="s">
        <v>112</v>
      </c>
      <c r="C101" s="95" t="s">
        <v>44</v>
      </c>
      <c r="D101" s="96">
        <f>F101+E101</f>
        <v>352400</v>
      </c>
      <c r="E101" s="97"/>
      <c r="F101" s="96">
        <v>352400</v>
      </c>
      <c r="G101" s="98">
        <f>I101+J101</f>
        <v>351986</v>
      </c>
      <c r="H101" s="98">
        <f>G101*100/D101</f>
        <v>99.88251986379115</v>
      </c>
      <c r="I101" s="98"/>
      <c r="J101" s="98">
        <v>351986</v>
      </c>
      <c r="K101" s="98">
        <f>M101+N101</f>
        <v>0</v>
      </c>
      <c r="L101" s="98">
        <f>K101*100/D101</f>
        <v>0</v>
      </c>
      <c r="M101" s="98"/>
      <c r="N101" s="98"/>
      <c r="O101" s="98">
        <f>D101-G101-K101</f>
        <v>414</v>
      </c>
      <c r="P101" s="98">
        <f>O101*100/D101</f>
        <v>0.11748013620885357</v>
      </c>
      <c r="Q101" s="98">
        <f>E101-I101-M101</f>
        <v>0</v>
      </c>
      <c r="R101" s="98">
        <f>F101-J101-N101</f>
        <v>414</v>
      </c>
    </row>
    <row r="102" spans="1:18" ht="18">
      <c r="A102" s="62"/>
      <c r="B102" s="80" t="s">
        <v>12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6.5" customHeight="1">
      <c r="A103" s="76"/>
      <c r="B103" s="44" t="s">
        <v>93</v>
      </c>
      <c r="C103" s="77"/>
      <c r="D103" s="78"/>
      <c r="E103" s="79"/>
      <c r="F103" s="78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7.25" customHeight="1">
      <c r="A104" s="2">
        <v>1.1</v>
      </c>
      <c r="B104" s="3" t="s">
        <v>113</v>
      </c>
      <c r="C104" s="95" t="s">
        <v>44</v>
      </c>
      <c r="D104" s="96">
        <f>F104+E104</f>
        <v>11596000</v>
      </c>
      <c r="E104" s="97"/>
      <c r="F104" s="96">
        <v>11596000</v>
      </c>
      <c r="G104" s="98">
        <f>I104+J104</f>
        <v>11595340.120000003</v>
      </c>
      <c r="H104" s="98">
        <f>G104*100/D104</f>
        <v>99.99430941704038</v>
      </c>
      <c r="I104" s="98"/>
      <c r="J104" s="98">
        <f>88170+33388.85+33388.85+145134.74+82470+82470+82470+135274+106290.9+80970+262029.94+125342.65+78270+150824.5+79596+78270+77070+309700+789858.17+65805+117769.7+78570+77070+163000+328554.84+685893+224700+96083+115967+347776+174622.1+103500+1554820+65805+65805+81500+313415.08+137329.8+82470+81500+165156.3+261767+166265.55+9914.85+171673.65+254442+56431.8+167767.8+64620+146643.75+99550+281083+99800+162960.6+79770+162960.6+6318+260507.75+31428+149740.8+163353.6+227762.8+2600.9+130119+17396+143130.9+214828.3+114403.05</f>
        <v>11595340.120000003</v>
      </c>
      <c r="K104" s="98">
        <f>M104+N104</f>
        <v>0</v>
      </c>
      <c r="L104" s="98">
        <f>K104*100/D104</f>
        <v>0</v>
      </c>
      <c r="M104" s="98"/>
      <c r="N104" s="98">
        <f>635700+904000+987273.17+341810.4-262029.94-150824.5-309700-789858.17-65805-163000-328554.84-174622.1+261888.2-65805-65805-81500-313415.08-16363.8-81500+246294.7-261767+25216.2+25216.2-121.2+265348.4-254442+241296.95-5663.5-281083-1676.2+227762.8+5603.6-260507.75+211825.6-227762.8-2600.9-0.14-214828.3</f>
        <v>0</v>
      </c>
      <c r="O104" s="98">
        <f>D104-G104-K104</f>
        <v>659.8799999970943</v>
      </c>
      <c r="P104" s="98">
        <f>O104*100/D104</f>
        <v>0.005690582959616198</v>
      </c>
      <c r="Q104" s="98">
        <f>E104-I104-M104</f>
        <v>0</v>
      </c>
      <c r="R104" s="98">
        <f>F104-J104-N104</f>
        <v>659.8799999970943</v>
      </c>
    </row>
    <row r="105" spans="1:18" ht="17.25" customHeight="1">
      <c r="A105" s="20"/>
      <c r="B105" s="19" t="s">
        <v>105</v>
      </c>
      <c r="C105" s="32"/>
      <c r="D105" s="87"/>
      <c r="E105" s="88"/>
      <c r="F105" s="87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9" ht="17.25" customHeight="1">
      <c r="A106" s="76"/>
      <c r="B106" s="44" t="s">
        <v>110</v>
      </c>
      <c r="C106" s="81"/>
      <c r="D106" s="82"/>
      <c r="E106" s="83"/>
      <c r="F106" s="82"/>
      <c r="G106" s="84"/>
      <c r="H106" s="85"/>
      <c r="I106" s="84"/>
      <c r="J106" s="86"/>
      <c r="K106" s="84"/>
      <c r="L106" s="85"/>
      <c r="M106" s="84"/>
      <c r="N106" s="84"/>
      <c r="O106" s="84"/>
      <c r="P106" s="85"/>
      <c r="Q106" s="84"/>
      <c r="R106" s="84"/>
      <c r="S106" s="118">
        <v>4</v>
      </c>
    </row>
    <row r="107" spans="1:18" ht="17.25" customHeight="1">
      <c r="A107" s="2">
        <v>1.1</v>
      </c>
      <c r="B107" s="73" t="s">
        <v>47</v>
      </c>
      <c r="C107" s="24" t="s">
        <v>49</v>
      </c>
      <c r="D107" s="25">
        <f>F107+E107</f>
        <v>2999281</v>
      </c>
      <c r="E107" s="26"/>
      <c r="F107" s="25">
        <f>3000000-719</f>
        <v>2999281</v>
      </c>
      <c r="G107" s="27">
        <f>I107+J107</f>
        <v>2999280.2</v>
      </c>
      <c r="H107" s="75">
        <f>G107*100/D107</f>
        <v>99.99997332694069</v>
      </c>
      <c r="I107" s="27"/>
      <c r="J107" s="27">
        <f>7511.25+90420+270630+82820+265230+80290+16524.75+96900+18027+257130+97750+87440+97270+16800+248130+248130+243630+33388.85+243630+33388.85+24000+21031.5+9013.5+12018+20000+9013.5+12018+10816.2+28843.2+7210.8+21000+13219.8+99000+96900+80155</f>
        <v>2999280.2</v>
      </c>
      <c r="K107" s="27">
        <f>M107+N107</f>
        <v>0</v>
      </c>
      <c r="L107" s="27">
        <f>K107*100/D107</f>
        <v>0</v>
      </c>
      <c r="M107" s="27"/>
      <c r="N107" s="27">
        <f>14000+2800+4000+20000-16800+16000-24000+4000+16800+4200-20000+7210.8-7210.8-21000</f>
        <v>0</v>
      </c>
      <c r="O107" s="27">
        <f>D107-G107-K107</f>
        <v>0.7999999998137355</v>
      </c>
      <c r="P107" s="27">
        <f>O107*100/D107</f>
        <v>2.6673059303670963E-05</v>
      </c>
      <c r="Q107" s="27">
        <f>E107-I107-M107</f>
        <v>0</v>
      </c>
      <c r="R107" s="27">
        <f>F107-J107-N107</f>
        <v>0.7999999998137355</v>
      </c>
    </row>
    <row r="108" spans="1:18" ht="15" customHeight="1">
      <c r="A108" s="2"/>
      <c r="B108" s="73" t="s">
        <v>48</v>
      </c>
      <c r="C108" s="70"/>
      <c r="D108" s="71"/>
      <c r="E108" s="10"/>
      <c r="F108" s="71"/>
      <c r="G108" s="11"/>
      <c r="H108" s="72"/>
      <c r="I108" s="11"/>
      <c r="J108" s="12"/>
      <c r="K108" s="11"/>
      <c r="L108" s="72"/>
      <c r="M108" s="11"/>
      <c r="N108" s="11"/>
      <c r="O108" s="11"/>
      <c r="P108" s="72"/>
      <c r="Q108" s="11"/>
      <c r="R108" s="11"/>
    </row>
    <row r="109" spans="1:18" ht="17.25" customHeight="1">
      <c r="A109" s="2"/>
      <c r="B109" s="5" t="s">
        <v>50</v>
      </c>
      <c r="C109" s="70"/>
      <c r="D109" s="71"/>
      <c r="E109" s="10"/>
      <c r="F109" s="71"/>
      <c r="G109" s="11"/>
      <c r="H109" s="72"/>
      <c r="I109" s="11"/>
      <c r="J109" s="12"/>
      <c r="K109" s="11"/>
      <c r="L109" s="72"/>
      <c r="M109" s="11"/>
      <c r="N109" s="11"/>
      <c r="O109" s="11"/>
      <c r="P109" s="72"/>
      <c r="Q109" s="11"/>
      <c r="R109" s="11"/>
    </row>
    <row r="110" spans="1:18" ht="17.25" customHeight="1">
      <c r="A110" s="2">
        <v>1.2</v>
      </c>
      <c r="B110" s="73" t="s">
        <v>47</v>
      </c>
      <c r="C110" s="24" t="s">
        <v>49</v>
      </c>
      <c r="D110" s="25">
        <f>F110+E110</f>
        <v>2898925</v>
      </c>
      <c r="E110" s="26"/>
      <c r="F110" s="25">
        <f>2900000-1075</f>
        <v>2898925</v>
      </c>
      <c r="G110" s="27">
        <f>I110+J110</f>
        <v>2898924.4899999998</v>
      </c>
      <c r="H110" s="75">
        <f>G110*100/D110</f>
        <v>99.99998240727166</v>
      </c>
      <c r="I110" s="27"/>
      <c r="J110" s="27">
        <f>13219.8+14421.6+257130+78950+97650+14400+248130+248130+23134.65+235530+23134.65+24000+231930+81000+21031.5+9013.5+93234+12018+24000+241830+9013.5+252630+14722.05+10816.2+25237.8+7210.8+29200+91555+99850+16524.75+56720.7+13219.8+19800+5264+16830+13219.8+57240+2437.46+12018+13000+8107.93+13160+20344+17400+81515</f>
        <v>2898924.4899999998</v>
      </c>
      <c r="K110" s="27">
        <f>M110+N110</f>
        <v>0</v>
      </c>
      <c r="L110" s="27">
        <f>K110*100/D110</f>
        <v>0</v>
      </c>
      <c r="M110" s="27"/>
      <c r="N110" s="27">
        <f>9600+4800+16000+8000-14400+8000+16000-24000+4000+8400+21000-24000+7210.8-4000-7210.8-29200+7200+18000+8800+1400-19800+14400+3600-13000-1000-4000-4400-11000-200-200</f>
        <v>0</v>
      </c>
      <c r="O110" s="27">
        <f>D110-G110-K110</f>
        <v>0.5100000002421439</v>
      </c>
      <c r="P110" s="27">
        <f>O110*100/D110</f>
        <v>1.759272834730612E-05</v>
      </c>
      <c r="Q110" s="27">
        <f>E110-I110-M110</f>
        <v>0</v>
      </c>
      <c r="R110" s="27">
        <f>F110-J110-N110</f>
        <v>0.5100000002421439</v>
      </c>
    </row>
    <row r="111" spans="1:18" ht="15.75" customHeight="1">
      <c r="A111" s="2"/>
      <c r="B111" s="73" t="s">
        <v>51</v>
      </c>
      <c r="C111" s="70"/>
      <c r="D111" s="71"/>
      <c r="E111" s="10"/>
      <c r="F111" s="71"/>
      <c r="G111" s="11"/>
      <c r="H111" s="72"/>
      <c r="I111" s="11"/>
      <c r="J111" s="12"/>
      <c r="K111" s="11"/>
      <c r="L111" s="72"/>
      <c r="M111" s="11"/>
      <c r="N111" s="11"/>
      <c r="O111" s="11"/>
      <c r="P111" s="72"/>
      <c r="Q111" s="11"/>
      <c r="R111" s="11"/>
    </row>
    <row r="112" spans="1:18" ht="15.75" customHeight="1">
      <c r="A112" s="2"/>
      <c r="B112" s="5" t="s">
        <v>52</v>
      </c>
      <c r="C112" s="70"/>
      <c r="D112" s="71"/>
      <c r="E112" s="10"/>
      <c r="F112" s="71"/>
      <c r="G112" s="11"/>
      <c r="H112" s="72"/>
      <c r="I112" s="11"/>
      <c r="J112" s="12"/>
      <c r="K112" s="11"/>
      <c r="L112" s="72"/>
      <c r="M112" s="11"/>
      <c r="N112" s="11"/>
      <c r="O112" s="11"/>
      <c r="P112" s="72"/>
      <c r="Q112" s="11"/>
      <c r="R112" s="11"/>
    </row>
    <row r="113" spans="1:18" ht="18" customHeight="1">
      <c r="A113" s="2">
        <v>1.3</v>
      </c>
      <c r="B113" s="73" t="s">
        <v>53</v>
      </c>
      <c r="C113" s="24" t="s">
        <v>49</v>
      </c>
      <c r="D113" s="25">
        <f>F113+E113</f>
        <v>6200000</v>
      </c>
      <c r="E113" s="26"/>
      <c r="F113" s="25">
        <v>6200000</v>
      </c>
      <c r="G113" s="27">
        <f>I113+J113</f>
        <v>6199612.149999999</v>
      </c>
      <c r="H113" s="27">
        <f>G113*100/D113</f>
        <v>99.99374435483871</v>
      </c>
      <c r="I113" s="27"/>
      <c r="J113" s="27">
        <f>68090+90420+89970+89970+15041.4+86970+85920+16408.8+86970+82920+49385+55410+82920+82920+16878+10528+54460+6348.35+74001+96010+4490+32117+6949.25+97210+95470+6317.5+6317.5+29393+83970+83970+17280+6317.5+83970+82470+82470+81720+57870+81270+7581+82470+44485+80070+33238.2+80070+80070+80070+77070+6949.25+322224+6949.25+25870.4+77070+77070+9780+78270+274000+6949.25+79770+78270+79770+14410+12800+62770+6317.5+80970+53980+18201.7+80970+317840+90150+79770+74484.8+24044.05+79770+122370.6+35087+78570+78570+236736+4542+63913.3+4049+78000+16131.93+112116.4+18000+99475+17118+19980+5745+102430.8+78738.5+17100+960+60599+63707.92+6050+3686+10279</f>
        <v>6199612.149999999</v>
      </c>
      <c r="K113" s="27">
        <f>M113+N113</f>
        <v>5.820766091346741E-11</v>
      </c>
      <c r="L113" s="27">
        <f>K113*100/D113</f>
        <v>9.38833240539797E-16</v>
      </c>
      <c r="M113" s="27"/>
      <c r="N113" s="27">
        <f>124080+14226+24000+29978+1150800-29393-14226-24000-33238.2-322224-25870.4-274000+41760-18201.7+15022.5+20027-317840-44160-3194.7+38500-236736-63913.3+15022.5+25636-12816.2-80-78738.5-420</f>
        <v>5.820766091346741E-11</v>
      </c>
      <c r="O113" s="27">
        <f>D113-G113-K113</f>
        <v>387.8500000005006</v>
      </c>
      <c r="P113" s="27">
        <f>O113*100/D113</f>
        <v>0.006255645161298396</v>
      </c>
      <c r="Q113" s="27">
        <f>E113-I113-M113</f>
        <v>0</v>
      </c>
      <c r="R113" s="27">
        <f>F113-J113-N113</f>
        <v>387.8500000005006</v>
      </c>
    </row>
    <row r="114" spans="1:18" ht="15" customHeight="1">
      <c r="A114" s="2"/>
      <c r="B114" s="73" t="s">
        <v>54</v>
      </c>
      <c r="C114" s="70"/>
      <c r="D114" s="71"/>
      <c r="E114" s="10"/>
      <c r="F114" s="71"/>
      <c r="G114" s="11"/>
      <c r="H114" s="72"/>
      <c r="I114" s="11"/>
      <c r="J114" s="12"/>
      <c r="K114" s="11"/>
      <c r="L114" s="72"/>
      <c r="M114" s="11"/>
      <c r="N114" s="11"/>
      <c r="O114" s="11"/>
      <c r="P114" s="72"/>
      <c r="Q114" s="11"/>
      <c r="R114" s="11"/>
    </row>
    <row r="115" spans="1:18" ht="15" customHeight="1">
      <c r="A115" s="2"/>
      <c r="B115" s="5" t="s">
        <v>131</v>
      </c>
      <c r="C115" s="70"/>
      <c r="D115" s="71"/>
      <c r="E115" s="10"/>
      <c r="F115" s="71"/>
      <c r="G115" s="11"/>
      <c r="H115" s="72"/>
      <c r="I115" s="11"/>
      <c r="J115" s="12"/>
      <c r="K115" s="11"/>
      <c r="L115" s="72"/>
      <c r="M115" s="11"/>
      <c r="N115" s="11"/>
      <c r="O115" s="11"/>
      <c r="P115" s="72"/>
      <c r="Q115" s="11"/>
      <c r="R115" s="11"/>
    </row>
    <row r="116" spans="1:18" ht="19.5" customHeight="1">
      <c r="A116" s="2">
        <v>1.4</v>
      </c>
      <c r="B116" s="73" t="s">
        <v>47</v>
      </c>
      <c r="C116" s="24" t="s">
        <v>132</v>
      </c>
      <c r="D116" s="25">
        <f>F116+E116</f>
        <v>800000</v>
      </c>
      <c r="E116" s="26">
        <v>800000</v>
      </c>
      <c r="F116" s="25"/>
      <c r="G116" s="27">
        <f>I116+J116</f>
        <v>800000</v>
      </c>
      <c r="H116" s="75">
        <f>G116*100/D116</f>
        <v>100</v>
      </c>
      <c r="I116" s="27">
        <f>288003.27+431996.73+80000</f>
        <v>800000</v>
      </c>
      <c r="J116" s="27"/>
      <c r="K116" s="27">
        <f>M116+N116</f>
        <v>0</v>
      </c>
      <c r="L116" s="75">
        <f>K116*100/D116</f>
        <v>0</v>
      </c>
      <c r="M116" s="27">
        <f>800000-288003.27-431996.73-80000</f>
        <v>0</v>
      </c>
      <c r="N116" s="27"/>
      <c r="O116" s="27">
        <f>D116-G116-K116</f>
        <v>0</v>
      </c>
      <c r="P116" s="27">
        <f>O116*100/D116</f>
        <v>0</v>
      </c>
      <c r="Q116" s="27">
        <f>E116-I116-M116</f>
        <v>0</v>
      </c>
      <c r="R116" s="27">
        <f>F116-J116-N116</f>
        <v>0</v>
      </c>
    </row>
    <row r="117" spans="1:18" ht="17.25" customHeight="1">
      <c r="A117" s="2"/>
      <c r="B117" s="5" t="s">
        <v>133</v>
      </c>
      <c r="C117" s="70"/>
      <c r="D117" s="71"/>
      <c r="E117" s="10"/>
      <c r="F117" s="71"/>
      <c r="G117" s="11"/>
      <c r="H117" s="72"/>
      <c r="I117" s="11"/>
      <c r="J117" s="12"/>
      <c r="K117" s="11"/>
      <c r="L117" s="72"/>
      <c r="M117" s="11"/>
      <c r="N117" s="11"/>
      <c r="O117" s="11"/>
      <c r="P117" s="72"/>
      <c r="Q117" s="11"/>
      <c r="R117" s="11"/>
    </row>
    <row r="118" spans="1:18" ht="17.25" customHeight="1">
      <c r="A118" s="2">
        <v>1.5</v>
      </c>
      <c r="B118" s="73" t="s">
        <v>134</v>
      </c>
      <c r="C118" s="24" t="s">
        <v>132</v>
      </c>
      <c r="D118" s="25">
        <f>F118+E118</f>
        <v>740000</v>
      </c>
      <c r="E118" s="26">
        <v>740000</v>
      </c>
      <c r="F118" s="25"/>
      <c r="G118" s="27">
        <f>I118+J118</f>
        <v>740000</v>
      </c>
      <c r="H118" s="75">
        <f>G118*100/D118</f>
        <v>100</v>
      </c>
      <c r="I118" s="27">
        <f>532800.61+133199.39+74000</f>
        <v>740000</v>
      </c>
      <c r="J118" s="27"/>
      <c r="K118" s="27">
        <f>M118+N118</f>
        <v>0</v>
      </c>
      <c r="L118" s="75">
        <f>K118*100/D118</f>
        <v>0</v>
      </c>
      <c r="M118" s="27">
        <f>740000-532800.61-133199.39-74000</f>
        <v>0</v>
      </c>
      <c r="N118" s="27"/>
      <c r="O118" s="27">
        <f>D118-G118-K118</f>
        <v>0</v>
      </c>
      <c r="P118" s="27">
        <f>O118*100/D118</f>
        <v>0</v>
      </c>
      <c r="Q118" s="27">
        <f>E118-I118-M118</f>
        <v>0</v>
      </c>
      <c r="R118" s="27">
        <f>F118-J118-N118</f>
        <v>0</v>
      </c>
    </row>
    <row r="119" spans="1:18" ht="15" customHeight="1">
      <c r="A119" s="2"/>
      <c r="B119" s="5" t="s">
        <v>135</v>
      </c>
      <c r="C119" s="70"/>
      <c r="D119" s="71"/>
      <c r="E119" s="10"/>
      <c r="F119" s="71"/>
      <c r="G119" s="11"/>
      <c r="H119" s="72"/>
      <c r="I119" s="11"/>
      <c r="J119" s="12"/>
      <c r="K119" s="11"/>
      <c r="L119" s="72"/>
      <c r="M119" s="11"/>
      <c r="N119" s="11"/>
      <c r="O119" s="11"/>
      <c r="P119" s="72"/>
      <c r="Q119" s="11"/>
      <c r="R119" s="11"/>
    </row>
    <row r="120" spans="1:18" ht="18" customHeight="1">
      <c r="A120" s="2">
        <v>1.6</v>
      </c>
      <c r="B120" s="74" t="s">
        <v>136</v>
      </c>
      <c r="C120" s="24" t="s">
        <v>132</v>
      </c>
      <c r="D120" s="25">
        <f>F120+E120</f>
        <v>750000</v>
      </c>
      <c r="E120" s="26">
        <v>750000</v>
      </c>
      <c r="F120" s="25"/>
      <c r="G120" s="27">
        <f>I120+J120</f>
        <v>750000</v>
      </c>
      <c r="H120" s="75">
        <f>G120*100/D120</f>
        <v>100</v>
      </c>
      <c r="I120" s="27">
        <f>750000</f>
        <v>750000</v>
      </c>
      <c r="J120" s="27"/>
      <c r="K120" s="27">
        <f>M120+N120</f>
        <v>0</v>
      </c>
      <c r="L120" s="75">
        <f>K120*100/D120</f>
        <v>0</v>
      </c>
      <c r="M120" s="27">
        <f>750000-750000</f>
        <v>0</v>
      </c>
      <c r="N120" s="27"/>
      <c r="O120" s="27">
        <f>D120-G120-K120</f>
        <v>0</v>
      </c>
      <c r="P120" s="27">
        <f>O120*100/D120</f>
        <v>0</v>
      </c>
      <c r="Q120" s="27">
        <f>E120-I120-M120</f>
        <v>0</v>
      </c>
      <c r="R120" s="27">
        <f>F120-J120-N120</f>
        <v>0</v>
      </c>
    </row>
    <row r="121" spans="1:18" ht="15.75" customHeight="1">
      <c r="A121" s="2"/>
      <c r="B121" s="5" t="s">
        <v>140</v>
      </c>
      <c r="C121" s="24"/>
      <c r="D121" s="25"/>
      <c r="E121" s="26"/>
      <c r="F121" s="25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20.25" customHeight="1">
      <c r="A122" s="2">
        <v>1.7</v>
      </c>
      <c r="B122" s="73" t="s">
        <v>47</v>
      </c>
      <c r="C122" s="24" t="s">
        <v>132</v>
      </c>
      <c r="D122" s="25">
        <f>F122+E122</f>
        <v>24000</v>
      </c>
      <c r="E122" s="26"/>
      <c r="F122" s="25">
        <v>24000</v>
      </c>
      <c r="G122" s="27">
        <f>I122+J122</f>
        <v>23947</v>
      </c>
      <c r="H122" s="27">
        <f>G122*100/D122</f>
        <v>99.77916666666667</v>
      </c>
      <c r="I122" s="27"/>
      <c r="J122" s="27">
        <f>6609.9+6609.9+10727.2</f>
        <v>23947</v>
      </c>
      <c r="K122" s="27">
        <f>M122+N122</f>
        <v>0</v>
      </c>
      <c r="L122" s="27">
        <f>K122*100/D122</f>
        <v>0</v>
      </c>
      <c r="M122" s="27"/>
      <c r="N122" s="27">
        <f>4020+6707.2-10727.2</f>
        <v>0</v>
      </c>
      <c r="O122" s="27">
        <f>D122-G122-K122</f>
        <v>53</v>
      </c>
      <c r="P122" s="27">
        <f>O122*100/D122</f>
        <v>0.22083333333333333</v>
      </c>
      <c r="Q122" s="27">
        <f aca="true" t="shared" si="0" ref="Q122:R124">E122-I122-M122</f>
        <v>0</v>
      </c>
      <c r="R122" s="27">
        <f t="shared" si="0"/>
        <v>53</v>
      </c>
    </row>
    <row r="123" spans="1:18" ht="18" customHeight="1">
      <c r="A123" s="2">
        <v>1.8</v>
      </c>
      <c r="B123" s="73" t="s">
        <v>134</v>
      </c>
      <c r="C123" s="24" t="s">
        <v>132</v>
      </c>
      <c r="D123" s="25">
        <f>F123+E123</f>
        <v>21427</v>
      </c>
      <c r="E123" s="26"/>
      <c r="F123" s="25">
        <f>22200-773</f>
        <v>21427</v>
      </c>
      <c r="G123" s="27">
        <f>I123+J123</f>
        <v>21427</v>
      </c>
      <c r="H123" s="75">
        <f>G123*100/D123</f>
        <v>100</v>
      </c>
      <c r="I123" s="27"/>
      <c r="J123" s="27">
        <f>9400+12027</f>
        <v>21427</v>
      </c>
      <c r="K123" s="27">
        <f>M123+N123</f>
        <v>0</v>
      </c>
      <c r="L123" s="27">
        <f>K123*100/D123</f>
        <v>0</v>
      </c>
      <c r="M123" s="27"/>
      <c r="N123" s="27">
        <f>10120-9400-720</f>
        <v>0</v>
      </c>
      <c r="O123" s="27">
        <f>D123-G123-K123</f>
        <v>0</v>
      </c>
      <c r="P123" s="27">
        <f>O123*100/D123</f>
        <v>0</v>
      </c>
      <c r="Q123" s="27">
        <f t="shared" si="0"/>
        <v>0</v>
      </c>
      <c r="R123" s="27">
        <f t="shared" si="0"/>
        <v>0</v>
      </c>
    </row>
    <row r="124" spans="1:18" ht="18" customHeight="1">
      <c r="A124" s="2">
        <v>1.9</v>
      </c>
      <c r="B124" s="74" t="s">
        <v>136</v>
      </c>
      <c r="C124" s="24" t="s">
        <v>132</v>
      </c>
      <c r="D124" s="25">
        <f>F124+E124</f>
        <v>22500</v>
      </c>
      <c r="E124" s="26"/>
      <c r="F124" s="25">
        <v>22500</v>
      </c>
      <c r="G124" s="27">
        <f>I124+J124</f>
        <v>22490</v>
      </c>
      <c r="H124" s="75">
        <f>G124*100/D124</f>
        <v>99.95555555555555</v>
      </c>
      <c r="I124" s="27"/>
      <c r="J124" s="27">
        <f>10120+12370</f>
        <v>22490</v>
      </c>
      <c r="K124" s="27">
        <f>M124+N124</f>
        <v>0</v>
      </c>
      <c r="L124" s="27">
        <f>K124*100/D124</f>
        <v>0</v>
      </c>
      <c r="M124" s="27"/>
      <c r="N124" s="27">
        <f>10120-10120</f>
        <v>0</v>
      </c>
      <c r="O124" s="27">
        <f>D124-G124-K124</f>
        <v>10</v>
      </c>
      <c r="P124" s="27">
        <f>O124*100/D124</f>
        <v>0.044444444444444446</v>
      </c>
      <c r="Q124" s="27">
        <f t="shared" si="0"/>
        <v>0</v>
      </c>
      <c r="R124" s="27">
        <f t="shared" si="0"/>
        <v>10</v>
      </c>
    </row>
    <row r="125" spans="1:18" ht="18" customHeight="1">
      <c r="A125" s="67">
        <v>1.1</v>
      </c>
      <c r="B125" s="74" t="s">
        <v>145</v>
      </c>
      <c r="C125" s="24" t="s">
        <v>147</v>
      </c>
      <c r="D125" s="25">
        <f>F125+E125</f>
        <v>47482</v>
      </c>
      <c r="E125" s="26"/>
      <c r="F125" s="25">
        <f>47800-318</f>
        <v>47482</v>
      </c>
      <c r="G125" s="27">
        <f>I125+J125</f>
        <v>47481.9</v>
      </c>
      <c r="H125" s="75">
        <f>G125*100/D125</f>
        <v>99.99978939387557</v>
      </c>
      <c r="I125" s="27"/>
      <c r="J125" s="27">
        <f>9914.85+9914.85+4020+10816.2+12816</f>
        <v>47481.9</v>
      </c>
      <c r="K125" s="27">
        <f>M125+N125</f>
        <v>-1.4779288903810084E-12</v>
      </c>
      <c r="L125" s="27">
        <f>K125*100/D125</f>
        <v>-3.1126087578050806E-15</v>
      </c>
      <c r="M125" s="27"/>
      <c r="N125" s="27">
        <f>4020+11110.8-4020-10816.2-294.6</f>
        <v>-1.4779288903810084E-12</v>
      </c>
      <c r="O125" s="27">
        <f>D125-G125-K125</f>
        <v>0.10000000000002274</v>
      </c>
      <c r="P125" s="27">
        <f>O125*100/D125</f>
        <v>0.0002106061244261462</v>
      </c>
      <c r="Q125" s="27">
        <f>E125-I125-M125</f>
        <v>0</v>
      </c>
      <c r="R125" s="27">
        <f>F125-J125-N125</f>
        <v>0.10000000000002274</v>
      </c>
    </row>
    <row r="126" spans="1:18" ht="15.75" customHeight="1">
      <c r="A126" s="67"/>
      <c r="B126" s="74" t="s">
        <v>146</v>
      </c>
      <c r="C126" s="24"/>
      <c r="D126" s="25"/>
      <c r="E126" s="26"/>
      <c r="F126" s="25"/>
      <c r="G126" s="27"/>
      <c r="H126" s="75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ht="18.75" customHeight="1">
      <c r="A127" s="67">
        <v>1.11</v>
      </c>
      <c r="B127" s="90" t="s">
        <v>148</v>
      </c>
      <c r="C127" s="24" t="s">
        <v>147</v>
      </c>
      <c r="D127" s="25">
        <f>F127+E127</f>
        <v>51700</v>
      </c>
      <c r="E127" s="26"/>
      <c r="F127" s="25">
        <v>51700</v>
      </c>
      <c r="G127" s="27">
        <f>I127+J127</f>
        <v>51692</v>
      </c>
      <c r="H127" s="75">
        <f>G127*100/D127</f>
        <v>99.98452611218569</v>
      </c>
      <c r="I127" s="27"/>
      <c r="J127" s="27">
        <f>13219.8+13219.8+14434.4+10818</f>
        <v>51692</v>
      </c>
      <c r="K127" s="27">
        <f>M127+N127</f>
        <v>0</v>
      </c>
      <c r="L127" s="27">
        <f>K127*100/D127</f>
        <v>0</v>
      </c>
      <c r="M127" s="27"/>
      <c r="N127" s="27">
        <f>4020+10414.4-14434.4</f>
        <v>0</v>
      </c>
      <c r="O127" s="27">
        <f>D127-G127-K127</f>
        <v>8</v>
      </c>
      <c r="P127" s="27">
        <f>O127*100/D127</f>
        <v>0.015473887814313346</v>
      </c>
      <c r="Q127" s="27">
        <f aca="true" t="shared" si="1" ref="Q127:R129">E127-I127-M127</f>
        <v>0</v>
      </c>
      <c r="R127" s="27">
        <f t="shared" si="1"/>
        <v>8</v>
      </c>
    </row>
    <row r="128" spans="1:18" ht="18" customHeight="1">
      <c r="A128" s="67">
        <v>1.12</v>
      </c>
      <c r="B128" s="74" t="s">
        <v>149</v>
      </c>
      <c r="C128" s="24" t="s">
        <v>147</v>
      </c>
      <c r="D128" s="25">
        <f>F128+E128</f>
        <v>47283</v>
      </c>
      <c r="E128" s="26"/>
      <c r="F128" s="25">
        <f>47400-117</f>
        <v>47283</v>
      </c>
      <c r="G128" s="27">
        <f>I128+J128</f>
        <v>47283</v>
      </c>
      <c r="H128" s="75">
        <f>G128*100/D128</f>
        <v>100</v>
      </c>
      <c r="I128" s="27"/>
      <c r="J128" s="27">
        <f>19829.7+19829.7+7623.6</f>
        <v>47283</v>
      </c>
      <c r="K128" s="27">
        <f>M128+N128</f>
        <v>0</v>
      </c>
      <c r="L128" s="27">
        <f>K128*100/D128</f>
        <v>0</v>
      </c>
      <c r="M128" s="27"/>
      <c r="N128" s="27">
        <f>4020+3703.6-7623.6-100</f>
        <v>0</v>
      </c>
      <c r="O128" s="27">
        <f>D128-G128-K128</f>
        <v>0</v>
      </c>
      <c r="P128" s="27">
        <f>O128*100/D128</f>
        <v>0</v>
      </c>
      <c r="Q128" s="27">
        <f t="shared" si="1"/>
        <v>0</v>
      </c>
      <c r="R128" s="27">
        <f t="shared" si="1"/>
        <v>0</v>
      </c>
    </row>
    <row r="129" spans="1:18" ht="18" customHeight="1">
      <c r="A129" s="67">
        <v>1.13</v>
      </c>
      <c r="B129" s="74" t="s">
        <v>154</v>
      </c>
      <c r="C129" s="24" t="s">
        <v>155</v>
      </c>
      <c r="D129" s="25">
        <f>F129+E129</f>
        <v>45000</v>
      </c>
      <c r="E129" s="26"/>
      <c r="F129" s="25">
        <v>45000</v>
      </c>
      <c r="G129" s="27">
        <f>I129+J129</f>
        <v>44992.35</v>
      </c>
      <c r="H129" s="27">
        <f>G129*100/D129</f>
        <v>99.983</v>
      </c>
      <c r="I129" s="27"/>
      <c r="J129" s="27">
        <f>9013.5+21932.85+14046</f>
        <v>44992.35</v>
      </c>
      <c r="K129" s="27">
        <f>M129+N129</f>
        <v>0</v>
      </c>
      <c r="L129" s="27">
        <f>K129*100/D129</f>
        <v>0</v>
      </c>
      <c r="M129" s="27"/>
      <c r="N129" s="27"/>
      <c r="O129" s="27">
        <f>D129-G129-K129</f>
        <v>7.650000000001455</v>
      </c>
      <c r="P129" s="27">
        <f>O129*100/D129</f>
        <v>0.017000000000003235</v>
      </c>
      <c r="Q129" s="27">
        <f t="shared" si="1"/>
        <v>0</v>
      </c>
      <c r="R129" s="27">
        <f t="shared" si="1"/>
        <v>7.650000000001455</v>
      </c>
    </row>
    <row r="130" spans="1:18" ht="15.75" customHeight="1">
      <c r="A130" s="67"/>
      <c r="B130" s="5" t="s">
        <v>150</v>
      </c>
      <c r="C130" s="24"/>
      <c r="D130" s="25"/>
      <c r="E130" s="26"/>
      <c r="F130" s="25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18" customHeight="1">
      <c r="A131" s="67">
        <v>1.13</v>
      </c>
      <c r="B131" s="74" t="s">
        <v>145</v>
      </c>
      <c r="C131" s="24" t="s">
        <v>147</v>
      </c>
      <c r="D131" s="25">
        <f>F131+E131</f>
        <v>1594332</v>
      </c>
      <c r="E131" s="26">
        <f>1595000-668</f>
        <v>1594332</v>
      </c>
      <c r="F131" s="25"/>
      <c r="G131" s="27">
        <f>I131+J131</f>
        <v>1594332</v>
      </c>
      <c r="H131" s="75">
        <f>G131*100/D131</f>
        <v>100</v>
      </c>
      <c r="I131" s="27">
        <v>1594332</v>
      </c>
      <c r="J131" s="27"/>
      <c r="K131" s="27">
        <f>M131+N131</f>
        <v>0</v>
      </c>
      <c r="L131" s="75">
        <f>K131*100/D131</f>
        <v>0</v>
      </c>
      <c r="M131" s="27"/>
      <c r="N131" s="27"/>
      <c r="O131" s="27">
        <f>D131-G131-K131</f>
        <v>0</v>
      </c>
      <c r="P131" s="27">
        <f>O131*100/D131</f>
        <v>0</v>
      </c>
      <c r="Q131" s="27">
        <f>E131-I131-M131</f>
        <v>0</v>
      </c>
      <c r="R131" s="27">
        <f>F131-J131-N131</f>
        <v>0</v>
      </c>
    </row>
    <row r="132" spans="1:18" ht="15.75" customHeight="1">
      <c r="A132" s="67"/>
      <c r="B132" s="74" t="s">
        <v>146</v>
      </c>
      <c r="C132" s="24"/>
      <c r="D132" s="25"/>
      <c r="E132" s="26"/>
      <c r="F132" s="25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5.75" customHeight="1">
      <c r="A133" s="67"/>
      <c r="B133" s="5" t="s">
        <v>151</v>
      </c>
      <c r="C133" s="24"/>
      <c r="D133" s="25"/>
      <c r="E133" s="26"/>
      <c r="F133" s="25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18" customHeight="1">
      <c r="A134" s="67">
        <v>1.14</v>
      </c>
      <c r="B134" s="90" t="s">
        <v>148</v>
      </c>
      <c r="C134" s="24" t="s">
        <v>147</v>
      </c>
      <c r="D134" s="25">
        <f>F134+E134</f>
        <v>1724900</v>
      </c>
      <c r="E134" s="26">
        <v>1724900</v>
      </c>
      <c r="F134" s="25"/>
      <c r="G134" s="27">
        <f>I134+J134</f>
        <v>1724900</v>
      </c>
      <c r="H134" s="75">
        <f>G134*100/D134</f>
        <v>100</v>
      </c>
      <c r="I134" s="27">
        <v>1724900</v>
      </c>
      <c r="J134" s="27"/>
      <c r="K134" s="27">
        <f>M134+N134</f>
        <v>0</v>
      </c>
      <c r="L134" s="75">
        <f>K134*100/D134</f>
        <v>0</v>
      </c>
      <c r="M134" s="27"/>
      <c r="N134" s="27"/>
      <c r="O134" s="27">
        <f>D134-G134-K134</f>
        <v>0</v>
      </c>
      <c r="P134" s="27">
        <f>O134*100/D134</f>
        <v>0</v>
      </c>
      <c r="Q134" s="27">
        <f>E134-I134-M134</f>
        <v>0</v>
      </c>
      <c r="R134" s="27">
        <f>F134-J134-N134</f>
        <v>0</v>
      </c>
    </row>
    <row r="135" spans="1:18" ht="15.75" customHeight="1">
      <c r="A135" s="67"/>
      <c r="B135" s="5" t="s">
        <v>152</v>
      </c>
      <c r="C135" s="24"/>
      <c r="D135" s="25"/>
      <c r="E135" s="26"/>
      <c r="F135" s="25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ht="18" customHeight="1">
      <c r="A136" s="67">
        <v>1.15</v>
      </c>
      <c r="B136" s="74" t="s">
        <v>149</v>
      </c>
      <c r="C136" s="24" t="s">
        <v>147</v>
      </c>
      <c r="D136" s="25">
        <f>F136+E136</f>
        <v>1579893</v>
      </c>
      <c r="E136" s="26">
        <f>1580000-107</f>
        <v>1579893</v>
      </c>
      <c r="F136" s="25"/>
      <c r="G136" s="27">
        <f>I136+J136</f>
        <v>1579893</v>
      </c>
      <c r="H136" s="75">
        <f>G136*100/D136</f>
        <v>100</v>
      </c>
      <c r="I136" s="27">
        <v>1579893</v>
      </c>
      <c r="J136" s="27"/>
      <c r="K136" s="27">
        <f>M136+N136</f>
        <v>0</v>
      </c>
      <c r="L136" s="75">
        <f>K136*100/D136</f>
        <v>0</v>
      </c>
      <c r="M136" s="27"/>
      <c r="N136" s="27"/>
      <c r="O136" s="27">
        <f>D136-G136-K136</f>
        <v>0</v>
      </c>
      <c r="P136" s="27">
        <f>O136*100/D136</f>
        <v>0</v>
      </c>
      <c r="Q136" s="27">
        <f>E136-I136-M136</f>
        <v>0</v>
      </c>
      <c r="R136" s="27">
        <f>F136-J136-N136</f>
        <v>0</v>
      </c>
    </row>
    <row r="137" spans="1:18" ht="15.75" customHeight="1">
      <c r="A137" s="67"/>
      <c r="B137" s="5" t="s">
        <v>150</v>
      </c>
      <c r="C137" s="24"/>
      <c r="D137" s="25"/>
      <c r="E137" s="26"/>
      <c r="F137" s="25"/>
      <c r="G137" s="27"/>
      <c r="H137" s="27"/>
      <c r="I137" s="27"/>
      <c r="J137" s="27"/>
      <c r="K137" s="27"/>
      <c r="L137" s="75"/>
      <c r="M137" s="27"/>
      <c r="N137" s="27"/>
      <c r="O137" s="27"/>
      <c r="P137" s="27"/>
      <c r="Q137" s="27"/>
      <c r="R137" s="27"/>
    </row>
    <row r="138" spans="1:18" ht="18" customHeight="1">
      <c r="A138" s="67">
        <v>1.16</v>
      </c>
      <c r="B138" s="74" t="s">
        <v>154</v>
      </c>
      <c r="C138" s="24" t="s">
        <v>155</v>
      </c>
      <c r="D138" s="25">
        <f>F138+E138</f>
        <v>1499999</v>
      </c>
      <c r="E138" s="26">
        <v>1499999</v>
      </c>
      <c r="F138" s="25"/>
      <c r="G138" s="27">
        <f>I138+J138</f>
        <v>1499904</v>
      </c>
      <c r="H138" s="27">
        <f>G138*100/D138</f>
        <v>99.99366666244444</v>
      </c>
      <c r="I138" s="27">
        <v>1499904</v>
      </c>
      <c r="J138" s="27"/>
      <c r="K138" s="27">
        <f>M138+N138</f>
        <v>0</v>
      </c>
      <c r="L138" s="75">
        <f>K138*100/D138</f>
        <v>0</v>
      </c>
      <c r="M138" s="27"/>
      <c r="N138" s="27"/>
      <c r="O138" s="27">
        <f>D138-G138-K138</f>
        <v>95</v>
      </c>
      <c r="P138" s="27">
        <f>O138*100/D138</f>
        <v>0.006333337555558371</v>
      </c>
      <c r="Q138" s="27">
        <f>E138-I138-M138</f>
        <v>95</v>
      </c>
      <c r="R138" s="27">
        <f>F138-J138-N138</f>
        <v>0</v>
      </c>
    </row>
    <row r="139" spans="1:18" ht="17.25" customHeight="1">
      <c r="A139" s="20"/>
      <c r="B139" s="57" t="s">
        <v>55</v>
      </c>
      <c r="C139" s="110"/>
      <c r="D139" s="106">
        <f>F139+E139</f>
        <v>21046722</v>
      </c>
      <c r="E139" s="108">
        <f>E107+E110+E113+E116+E118+E120+E122+E123+E124+E125+E127+E128+E129+E131+E134+E136+E138</f>
        <v>8689124</v>
      </c>
      <c r="F139" s="106">
        <f>F107+F110+F113+F116+F118+F120+F122+F123+F124+F125+F127+F128+F129</f>
        <v>12357598</v>
      </c>
      <c r="G139" s="108">
        <f>J139+I139</f>
        <v>21046159.09</v>
      </c>
      <c r="H139" s="131">
        <f>G139*100/D139</f>
        <v>99.99732542673391</v>
      </c>
      <c r="I139" s="108">
        <f>I107+I110+I113+I116+I118+I120+I122+I123+I124+I125+I127+I128+I129+I131+I134+I136+I138</f>
        <v>8689029</v>
      </c>
      <c r="J139" s="109">
        <f>J107+J110+J113+J116+J118+J120+J122+J123+J124+J125+J127+J128+J129+J131+J134+J136+J138</f>
        <v>12357130.09</v>
      </c>
      <c r="K139" s="108">
        <f>N139+M139</f>
        <v>5.67297320230864E-11</v>
      </c>
      <c r="L139" s="109">
        <f>K139*100/D139</f>
        <v>2.6954188886557443E-16</v>
      </c>
      <c r="M139" s="108">
        <f>M107+M110+M113+M116+M118+M120+M122+M123+M124+M125+M127+M128+M129+M131+M134+M136+M138</f>
        <v>0</v>
      </c>
      <c r="N139" s="108">
        <f>N107+N110+N113+N116+N118+N120+N122+N123+N124+N125+N127+N128+N129+N131+N134+N136+N138</f>
        <v>5.67297320230864E-11</v>
      </c>
      <c r="O139" s="108">
        <f>R139+Q139</f>
        <v>562.910000000558</v>
      </c>
      <c r="P139" s="109">
        <f>O139*100/D139</f>
        <v>0.0026745732660913082</v>
      </c>
      <c r="Q139" s="108">
        <f>Q107+Q110+Q113+Q116+Q118+Q120+Q122+Q123+Q124+Q125+Q127+Q128+Q129+Q131+Q134+Q136+Q138</f>
        <v>95</v>
      </c>
      <c r="R139" s="108">
        <f>R107+R110+R113+R116+R118+R120+R122+R123+R124+R125+R127+R128+R129+R131+R134+R136+R138</f>
        <v>467.91000000055794</v>
      </c>
    </row>
    <row r="140" spans="1:19" ht="18.75" customHeight="1">
      <c r="A140" s="46"/>
      <c r="B140" s="44" t="s">
        <v>160</v>
      </c>
      <c r="C140" s="77"/>
      <c r="D140" s="78"/>
      <c r="E140" s="79"/>
      <c r="F140" s="78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118">
        <v>5</v>
      </c>
    </row>
    <row r="141" spans="1:18" ht="17.25" customHeight="1">
      <c r="A141" s="7">
        <v>1</v>
      </c>
      <c r="B141" s="74" t="s">
        <v>161</v>
      </c>
      <c r="C141" s="24" t="s">
        <v>163</v>
      </c>
      <c r="D141" s="25">
        <f>F141+E141</f>
        <v>24200</v>
      </c>
      <c r="E141" s="26"/>
      <c r="F141" s="25">
        <v>24200</v>
      </c>
      <c r="G141" s="27">
        <f>I141+J141</f>
        <v>24200</v>
      </c>
      <c r="H141" s="75">
        <f>G141*100/D141</f>
        <v>100</v>
      </c>
      <c r="I141" s="27"/>
      <c r="J141" s="27">
        <v>24200</v>
      </c>
      <c r="K141" s="27">
        <f>M141+N141</f>
        <v>0</v>
      </c>
      <c r="L141" s="75">
        <f>K141*100/D141</f>
        <v>0</v>
      </c>
      <c r="M141" s="27"/>
      <c r="N141" s="27"/>
      <c r="O141" s="27">
        <f>D141-G141-K141</f>
        <v>0</v>
      </c>
      <c r="P141" s="27">
        <f>O141*100/D141</f>
        <v>0</v>
      </c>
      <c r="Q141" s="27">
        <f>E141-I141-M141</f>
        <v>0</v>
      </c>
      <c r="R141" s="27">
        <f>F141-J141-N141</f>
        <v>0</v>
      </c>
    </row>
    <row r="142" spans="1:18" ht="17.25" customHeight="1">
      <c r="A142" s="7"/>
      <c r="B142" s="120" t="s">
        <v>162</v>
      </c>
      <c r="C142" s="23"/>
      <c r="D142" s="28"/>
      <c r="E142" s="29"/>
      <c r="F142" s="28"/>
      <c r="G142" s="30"/>
      <c r="H142" s="30"/>
      <c r="I142" s="30"/>
      <c r="J142" s="30"/>
      <c r="K142" s="30"/>
      <c r="L142" s="119"/>
      <c r="M142" s="30"/>
      <c r="N142" s="30"/>
      <c r="O142" s="30"/>
      <c r="P142" s="30"/>
      <c r="Q142" s="30"/>
      <c r="R142" s="30"/>
    </row>
    <row r="143" spans="1:18" ht="20.25" customHeight="1">
      <c r="A143" s="2"/>
      <c r="B143" s="121" t="s">
        <v>157</v>
      </c>
      <c r="C143" s="122"/>
      <c r="D143" s="123">
        <f>F143+E143</f>
        <v>102689499</v>
      </c>
      <c r="E143" s="124">
        <f>E7+E10+E21+E36+E99+E101+E104+E139+E141</f>
        <v>19083484</v>
      </c>
      <c r="F143" s="125">
        <f>F7+F10+F21+F36+F99+F101+F104+F139+F141</f>
        <v>83606015</v>
      </c>
      <c r="G143" s="126">
        <f>J143+I143</f>
        <v>102682149.96000001</v>
      </c>
      <c r="H143" s="127">
        <f>G143*100/D143</f>
        <v>99.99284343572462</v>
      </c>
      <c r="I143" s="124">
        <f>I7+I10+I21+I36+I99+I101+I104+I139+I141</f>
        <v>19082953.59</v>
      </c>
      <c r="J143" s="127">
        <f>J7+J10+J21+J36+J99+J101+J104+J139+J141</f>
        <v>83599196.37</v>
      </c>
      <c r="K143" s="126">
        <f>N143+M143</f>
        <v>1.2661274251257737E-09</v>
      </c>
      <c r="L143" s="127">
        <f>K143*100/D143</f>
        <v>1.2329667954907188E-15</v>
      </c>
      <c r="M143" s="124">
        <f>M7+M10+M21+M36+M99+M101+M104+M139+M141</f>
        <v>1.5916157281026244E-12</v>
      </c>
      <c r="N143" s="124">
        <f>N7+N10+N21+N36+N99+N101+N104+N139+N141</f>
        <v>1.264535809397671E-09</v>
      </c>
      <c r="O143" s="126">
        <f>R143+Q143</f>
        <v>7349.040000001591</v>
      </c>
      <c r="P143" s="127">
        <f>O143*100/D143</f>
        <v>0.007156564275380865</v>
      </c>
      <c r="Q143" s="126">
        <f>Q7+Q10+Q21+Q36+Q99+Q101+Q139+Q141</f>
        <v>530.4100000002638</v>
      </c>
      <c r="R143" s="126">
        <f>R7+R10+R21+R36+R99+R101+R104+R139+R141</f>
        <v>6818.630000001327</v>
      </c>
    </row>
    <row r="144" spans="1:19" ht="20.25" customHeight="1">
      <c r="A144" s="76">
        <v>2</v>
      </c>
      <c r="B144" s="117" t="s">
        <v>158</v>
      </c>
      <c r="C144" s="81"/>
      <c r="D144" s="82"/>
      <c r="E144" s="83"/>
      <c r="F144" s="82"/>
      <c r="G144" s="84"/>
      <c r="H144" s="85"/>
      <c r="I144" s="84"/>
      <c r="J144" s="86"/>
      <c r="K144" s="84"/>
      <c r="L144" s="85"/>
      <c r="M144" s="84"/>
      <c r="N144" s="84"/>
      <c r="O144" s="84"/>
      <c r="P144" s="85"/>
      <c r="Q144" s="84"/>
      <c r="R144" s="84"/>
      <c r="S144" s="118"/>
    </row>
    <row r="145" spans="1:18" ht="16.5" customHeight="1">
      <c r="A145" s="2"/>
      <c r="B145" s="5" t="s">
        <v>38</v>
      </c>
      <c r="C145" s="3"/>
      <c r="D145" s="18"/>
      <c r="E145" s="3"/>
      <c r="F145" s="18"/>
      <c r="G145" s="3"/>
      <c r="H145" s="3"/>
      <c r="I145" s="3"/>
      <c r="J145" s="4"/>
      <c r="K145" s="3"/>
      <c r="L145" s="3"/>
      <c r="M145" s="3"/>
      <c r="N145" s="3"/>
      <c r="O145" s="3"/>
      <c r="P145" s="3"/>
      <c r="Q145" s="3"/>
      <c r="R145" s="3"/>
    </row>
    <row r="146" spans="1:18" ht="16.5" customHeight="1">
      <c r="A146" s="2">
        <v>2.1</v>
      </c>
      <c r="B146" s="3" t="s">
        <v>39</v>
      </c>
      <c r="C146" s="95" t="s">
        <v>40</v>
      </c>
      <c r="D146" s="96">
        <f>F146+E146</f>
        <v>19452000</v>
      </c>
      <c r="E146" s="97"/>
      <c r="F146" s="96">
        <v>19452000</v>
      </c>
      <c r="G146" s="98">
        <f>I146+J146</f>
        <v>19451697.529999994</v>
      </c>
      <c r="H146" s="130">
        <f>G146*100/D146</f>
        <v>99.99844504421135</v>
      </c>
      <c r="I146" s="98"/>
      <c r="J146" s="98">
        <f>89970+130695.75+6009+79615+86970+205246.25+99234+223905+1275550+1200+234990.8+1165500+6007.2+273987.6+269665.4+36526+257193.25+90515+35966+34592+6206.3+245776.15+31612.2+6009+293622.1+13414.95+13414.4+34592+39186+239759.1+98000+6009+63060+29580+5339940+1259950.25+1084961.08+82470+52848+71280+284826.6+248177.15+96868.2+241261.35+26439.6+255082.05+29744.55+211437.6+98980+38073.75+99888+97800+78270+293539.65+97585+13000+98100+268602.3+43723+402384.2+29425.2+99942+53980+304597.4+4660+74452+257185.2+74452+20972.6+12000+52436.9+185017.8+78570+206049.8+50180+24500+201601.95+22879.2+139232.3+64000+49380+32028.8+93400+6340+12000+165247.5+70470+181772.25+183919.7+62193.15</f>
        <v>19451697.529999994</v>
      </c>
      <c r="K146" s="98">
        <f>M146+N146</f>
        <v>4.306457412894815E-10</v>
      </c>
      <c r="L146" s="98">
        <f>K146*100/D146</f>
        <v>2.2138892725142996E-15</v>
      </c>
      <c r="M146" s="98"/>
      <c r="N146" s="98">
        <f>37460+1200+292421.7-1200+10700-6007.2+2347000+114538.6+497967.4-269665.4-2049.75-24781.5-6206.3-2088.67+67288.2+31680-293622.1-13414.4-61075.6-1259950.25-1084961.08+2049.75-4024.4+9820-248177.15-96868.2+8688.6+377444.6+580684+84075.6-24791.45-2100+28018-211437.6-38073.75-402384.2-29425.2+33627-4660+64057.6-52436.9-185017.8+22421.6+44843.2-43849.95-127948.05+58856.7-102.25+51200-139232.3+16014.4+74066.6-32028.8-420-1502.7-183919.7-2700.9</f>
        <v>4.306457412894815E-10</v>
      </c>
      <c r="O146" s="98">
        <f>D146-G146-K146</f>
        <v>302.47000000582784</v>
      </c>
      <c r="P146" s="98">
        <f>O146*100/D146</f>
        <v>0.0015549557886378152</v>
      </c>
      <c r="Q146" s="98">
        <f>E146-I146-M146</f>
        <v>0</v>
      </c>
      <c r="R146" s="98">
        <f>F146-J146-N146</f>
        <v>302.47000000582784</v>
      </c>
    </row>
    <row r="147" spans="1:18" ht="17.25" customHeight="1">
      <c r="A147" s="76"/>
      <c r="B147" s="44" t="s">
        <v>141</v>
      </c>
      <c r="C147" s="81"/>
      <c r="D147" s="82"/>
      <c r="E147" s="83"/>
      <c r="F147" s="82"/>
      <c r="G147" s="84"/>
      <c r="H147" s="86"/>
      <c r="I147" s="84"/>
      <c r="J147" s="86"/>
      <c r="K147" s="84"/>
      <c r="L147" s="86"/>
      <c r="M147" s="84"/>
      <c r="N147" s="84"/>
      <c r="O147" s="84"/>
      <c r="P147" s="86"/>
      <c r="Q147" s="84"/>
      <c r="R147" s="84"/>
    </row>
    <row r="148" spans="1:18" ht="17.25" customHeight="1">
      <c r="A148" s="2">
        <v>1.25</v>
      </c>
      <c r="B148" s="3" t="s">
        <v>137</v>
      </c>
      <c r="C148" s="95" t="s">
        <v>139</v>
      </c>
      <c r="D148" s="96">
        <f>F148+E148</f>
        <v>23000000</v>
      </c>
      <c r="E148" s="97"/>
      <c r="F148" s="96">
        <f>6000000+17000000</f>
        <v>23000000</v>
      </c>
      <c r="G148" s="98">
        <f>I148+J148</f>
        <v>22899000.650000006</v>
      </c>
      <c r="H148" s="98">
        <f>G148*100/D148</f>
        <v>99.56087239130437</v>
      </c>
      <c r="I148" s="98"/>
      <c r="J148" s="98">
        <f>11800+17700+500090.31+80070+85876+4018+45630+77070+72708.9+247270.35+78643.66+167050.2+132444.8+35380+85600+68992+40590+481359.8+15774+97483.5+510680.5+66099+18000+80970+27000+137005.2+3850.4+72873+61452+87235+31122+6529+734038.25+99448.95+305287+74900+580330+6009+820567.85+2129+1920.65+1134.2+661697.2+52912+76975+21332+33446+30238+126526.05+95070+5664+37685+841446+936666.3+326750+83520+62095+27100+161881.75+136496+261069.6+753898.8+840220.4+74070+1826510+10199+60839.6+26312+39355+6750+2030210+95494+28551+99488+34296+71670+855120.95-962.6+14095+4832+19066+70470+90013+266896.3+709701.8+70470+17396+351444.35+99317+37200+30017+99475+89800+75720+99240+6500+1280+1646.73+41150+110866.05+31057+20120+99500+98220+97800+68220+67850+210960+21380+815509.85+14880+71670+99340+99300+91150+99300+99480+99380+9399+5650+53950+1134125+15000+78940+26782+54947+79548+24222</f>
        <v>22899000.650000006</v>
      </c>
      <c r="K148" s="98">
        <f>M148+N148</f>
        <v>100999.34999999954</v>
      </c>
      <c r="L148" s="98">
        <f>K148*100/D148</f>
        <v>0.43912760869565015</v>
      </c>
      <c r="M148" s="98"/>
      <c r="N148" s="98">
        <f>11226+137005.2+90999.9+240324+105758.4+105758.4+182673.6-137005.2-3850.4+28843.2+46870.2+75713.4+214504+49530+16014.4+16014.4+100951.2+182673.6+100951.2+48072-661697.2+106468.4+16000+88332.3+54681.9+4638.2+22827-840220.4+86400-2625.2-60839.6-9614.4+29400+65360+33600+40480-6428.35-8010.8-351444.35-3487.8-1040-40-4807.2-210960+100999.35</f>
        <v>100999.34999999954</v>
      </c>
      <c r="O148" s="98">
        <f>D148-G148-K148</f>
        <v>-5.50062395632267E-09</v>
      </c>
      <c r="P148" s="98">
        <f>O148*100/D148</f>
        <v>-2.3915756331837695E-14</v>
      </c>
      <c r="Q148" s="98">
        <f>E148-I148-M148</f>
        <v>0</v>
      </c>
      <c r="R148" s="98">
        <f>F148-J148-N148</f>
        <v>-5.50062395632267E-09</v>
      </c>
    </row>
    <row r="149" spans="1:18" ht="17.25" customHeight="1">
      <c r="A149" s="20"/>
      <c r="B149" s="19" t="s">
        <v>138</v>
      </c>
      <c r="C149" s="115" t="s">
        <v>153</v>
      </c>
      <c r="D149" s="91"/>
      <c r="E149" s="92"/>
      <c r="F149" s="91"/>
      <c r="G149" s="93"/>
      <c r="H149" s="94"/>
      <c r="I149" s="93"/>
      <c r="J149" s="94"/>
      <c r="K149" s="93"/>
      <c r="L149" s="94"/>
      <c r="M149" s="93"/>
      <c r="N149" s="93"/>
      <c r="O149" s="93"/>
      <c r="P149" s="94"/>
      <c r="Q149" s="93"/>
      <c r="R149" s="93"/>
    </row>
    <row r="151" ht="21">
      <c r="B151" s="116" t="s">
        <v>156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4.28125" style="175" customWidth="1"/>
    <col min="2" max="2" width="33.00390625" style="175" customWidth="1"/>
    <col min="3" max="3" width="8.00390625" style="175" customWidth="1"/>
    <col min="4" max="4" width="9.7109375" style="175" customWidth="1"/>
    <col min="5" max="5" width="9.281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9.28125" style="175" customWidth="1"/>
    <col min="14" max="14" width="10.421875" style="175" customWidth="1"/>
    <col min="15" max="15" width="9.8515625" style="175" customWidth="1"/>
    <col min="16" max="16" width="5.57421875" style="175" customWidth="1"/>
    <col min="17" max="17" width="8.140625" style="175" customWidth="1"/>
    <col min="18" max="18" width="9.8515625" style="175" customWidth="1"/>
    <col min="19" max="16384" width="9.140625" style="175" customWidth="1"/>
  </cols>
  <sheetData>
    <row r="1" spans="1:18" ht="15.75">
      <c r="A1" s="316" t="s">
        <v>462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15.75" customHeight="1">
      <c r="A2" s="317" t="s">
        <v>0</v>
      </c>
      <c r="B2" s="317" t="s">
        <v>1</v>
      </c>
      <c r="C2" s="318" t="s">
        <v>2</v>
      </c>
      <c r="D2" s="319" t="s">
        <v>3</v>
      </c>
      <c r="E2" s="319"/>
      <c r="F2" s="319"/>
      <c r="G2" s="319" t="s">
        <v>7</v>
      </c>
      <c r="H2" s="319"/>
      <c r="I2" s="319"/>
      <c r="J2" s="319"/>
      <c r="K2" s="319" t="s">
        <v>9</v>
      </c>
      <c r="L2" s="319"/>
      <c r="M2" s="319"/>
      <c r="N2" s="319"/>
      <c r="O2" s="319" t="s">
        <v>10</v>
      </c>
      <c r="P2" s="319"/>
      <c r="Q2" s="319"/>
      <c r="R2" s="319"/>
    </row>
    <row r="3" spans="1:18" ht="14.25" customHeight="1">
      <c r="A3" s="317"/>
      <c r="B3" s="317"/>
      <c r="C3" s="318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328</v>
      </c>
      <c r="C4" s="179"/>
      <c r="D4" s="180">
        <f>E4+F4</f>
        <v>16000</v>
      </c>
      <c r="E4" s="181">
        <f>SUM(E7)</f>
        <v>0</v>
      </c>
      <c r="F4" s="181">
        <f>SUM(F7)</f>
        <v>16000</v>
      </c>
      <c r="G4" s="182">
        <f>I4+J4</f>
        <v>0</v>
      </c>
      <c r="H4" s="182">
        <f>G4*100/D4</f>
        <v>0</v>
      </c>
      <c r="I4" s="181">
        <f>SUM(I7)</f>
        <v>0</v>
      </c>
      <c r="J4" s="181">
        <f>SUM(J7)</f>
        <v>0</v>
      </c>
      <c r="K4" s="182">
        <f>M4+N4</f>
        <v>0</v>
      </c>
      <c r="L4" s="278">
        <f>K4*100/D4</f>
        <v>0</v>
      </c>
      <c r="M4" s="181">
        <f>SUM(M7)</f>
        <v>0</v>
      </c>
      <c r="N4" s="181">
        <f>SUM(N7)</f>
        <v>0</v>
      </c>
      <c r="O4" s="181">
        <f>Q4+R4</f>
        <v>16000</v>
      </c>
      <c r="P4" s="181">
        <f>O4*100/D4</f>
        <v>100</v>
      </c>
      <c r="Q4" s="181">
        <f>SUM(Q7)</f>
        <v>0</v>
      </c>
      <c r="R4" s="181">
        <f>SUM(R7)</f>
        <v>16000</v>
      </c>
    </row>
    <row r="5" spans="1:18" ht="21" customHeight="1">
      <c r="A5" s="183"/>
      <c r="B5" s="184" t="s">
        <v>458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457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459</v>
      </c>
      <c r="C7" s="190" t="s">
        <v>461</v>
      </c>
      <c r="D7" s="292">
        <f>F7+E7</f>
        <v>16000</v>
      </c>
      <c r="E7" s="223"/>
      <c r="F7" s="292">
        <v>16000</v>
      </c>
      <c r="G7" s="194">
        <f>I7+J7</f>
        <v>0</v>
      </c>
      <c r="H7" s="194">
        <f>G7*100/D7</f>
        <v>0</v>
      </c>
      <c r="I7" s="194"/>
      <c r="J7" s="194"/>
      <c r="K7" s="194">
        <f>M7+N7</f>
        <v>0</v>
      </c>
      <c r="L7" s="194">
        <f>K7*100/D7</f>
        <v>0</v>
      </c>
      <c r="M7" s="194"/>
      <c r="N7" s="194"/>
      <c r="O7" s="194">
        <f>D7-G7-K7</f>
        <v>16000</v>
      </c>
      <c r="P7" s="194">
        <f>O7*100/D7</f>
        <v>100</v>
      </c>
      <c r="Q7" s="194">
        <f>E7-I7-M7</f>
        <v>0</v>
      </c>
      <c r="R7" s="194">
        <f>F7-J7-N7</f>
        <v>16000</v>
      </c>
    </row>
    <row r="8" spans="1:18" ht="16.5" customHeight="1">
      <c r="A8" s="183"/>
      <c r="B8" s="185" t="s">
        <v>460</v>
      </c>
      <c r="C8" s="288"/>
      <c r="D8" s="289"/>
      <c r="E8" s="290"/>
      <c r="F8" s="289"/>
      <c r="G8" s="197"/>
      <c r="H8" s="291"/>
      <c r="I8" s="197"/>
      <c r="J8" s="197"/>
      <c r="K8" s="197"/>
      <c r="L8" s="291"/>
      <c r="M8" s="197"/>
      <c r="N8" s="197"/>
      <c r="O8" s="197"/>
      <c r="P8" s="197"/>
      <c r="Q8" s="197"/>
      <c r="R8" s="197"/>
    </row>
    <row r="9" spans="1:18" ht="16.5" customHeight="1">
      <c r="A9" s="183"/>
      <c r="B9" s="185"/>
      <c r="C9" s="288"/>
      <c r="D9" s="289"/>
      <c r="E9" s="290"/>
      <c r="F9" s="289"/>
      <c r="G9" s="197"/>
      <c r="H9" s="291"/>
      <c r="I9" s="197"/>
      <c r="J9" s="197"/>
      <c r="K9" s="197"/>
      <c r="L9" s="291"/>
      <c r="M9" s="197"/>
      <c r="N9" s="197"/>
      <c r="O9" s="197"/>
      <c r="P9" s="197"/>
      <c r="Q9" s="197"/>
      <c r="R9" s="197"/>
    </row>
    <row r="10" spans="1:18" ht="16.5" customHeight="1">
      <c r="A10" s="183"/>
      <c r="B10" s="185"/>
      <c r="C10" s="288"/>
      <c r="D10" s="289"/>
      <c r="E10" s="290"/>
      <c r="F10" s="289"/>
      <c r="G10" s="197"/>
      <c r="H10" s="291"/>
      <c r="I10" s="197"/>
      <c r="J10" s="197"/>
      <c r="K10" s="197"/>
      <c r="L10" s="291"/>
      <c r="M10" s="197"/>
      <c r="N10" s="197"/>
      <c r="O10" s="197"/>
      <c r="P10" s="197"/>
      <c r="Q10" s="197"/>
      <c r="R10" s="197"/>
    </row>
    <row r="11" spans="1:18" ht="16.5" customHeight="1">
      <c r="A11" s="183"/>
      <c r="B11" s="185"/>
      <c r="C11" s="288"/>
      <c r="D11" s="289"/>
      <c r="E11" s="290"/>
      <c r="F11" s="289"/>
      <c r="G11" s="197"/>
      <c r="H11" s="291"/>
      <c r="I11" s="197"/>
      <c r="J11" s="197"/>
      <c r="K11" s="197"/>
      <c r="L11" s="291"/>
      <c r="M11" s="197"/>
      <c r="N11" s="197"/>
      <c r="O11" s="197"/>
      <c r="P11" s="197"/>
      <c r="Q11" s="197"/>
      <c r="R11" s="197"/>
    </row>
    <row r="12" spans="1:18" ht="17.25" customHeight="1">
      <c r="A12" s="205"/>
      <c r="B12" s="206"/>
      <c r="C12" s="217"/>
      <c r="D12" s="218"/>
      <c r="E12" s="219"/>
      <c r="F12" s="218"/>
      <c r="G12" s="220"/>
      <c r="H12" s="221"/>
      <c r="I12" s="220"/>
      <c r="J12" s="221"/>
      <c r="K12" s="220"/>
      <c r="L12" s="221"/>
      <c r="M12" s="220"/>
      <c r="N12" s="220"/>
      <c r="O12" s="220"/>
      <c r="P12" s="221"/>
      <c r="Q12" s="220"/>
      <c r="R12" s="220"/>
    </row>
    <row r="14" ht="15.75">
      <c r="B14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zoomScale="120" zoomScaleNormal="120" zoomScalePageLayoutView="0" workbookViewId="0" topLeftCell="A1">
      <pane ySplit="4" topLeftCell="A101" activePane="bottomLeft" state="frozen"/>
      <selection pane="topLeft" activeCell="A1" sqref="A1"/>
      <selection pane="bottomLeft" activeCell="G111" sqref="G111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2" t="s">
        <v>368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5.75" customHeight="1">
      <c r="A2" s="313" t="s">
        <v>0</v>
      </c>
      <c r="B2" s="313" t="s">
        <v>1</v>
      </c>
      <c r="C2" s="314" t="s">
        <v>2</v>
      </c>
      <c r="D2" s="315" t="s">
        <v>3</v>
      </c>
      <c r="E2" s="315"/>
      <c r="F2" s="315"/>
      <c r="G2" s="315" t="s">
        <v>7</v>
      </c>
      <c r="H2" s="315"/>
      <c r="I2" s="315"/>
      <c r="J2" s="315"/>
      <c r="K2" s="315" t="s">
        <v>9</v>
      </c>
      <c r="L2" s="315"/>
      <c r="M2" s="315"/>
      <c r="N2" s="315"/>
      <c r="O2" s="315" t="s">
        <v>10</v>
      </c>
      <c r="P2" s="315"/>
      <c r="Q2" s="315"/>
      <c r="R2" s="315"/>
    </row>
    <row r="3" spans="1:18" ht="14.25" customHeight="1">
      <c r="A3" s="313"/>
      <c r="B3" s="313"/>
      <c r="C3" s="314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101087811</v>
      </c>
      <c r="E4" s="59">
        <f>SUM(E126+E129)</f>
        <v>2353866</v>
      </c>
      <c r="F4" s="59">
        <f>SUM(F126+F129)</f>
        <v>98733945</v>
      </c>
      <c r="G4" s="61">
        <f>I4+J4</f>
        <v>101086343.95</v>
      </c>
      <c r="H4" s="61">
        <f>G4*100/D4</f>
        <v>99.99854873699857</v>
      </c>
      <c r="I4" s="59">
        <f>SUM(I126+I129)</f>
        <v>2353864.73</v>
      </c>
      <c r="J4" s="59">
        <f>SUM(J126+J129)</f>
        <v>98732479.22</v>
      </c>
      <c r="K4" s="61">
        <f>M4+N4</f>
        <v>-9.369678366510925E-10</v>
      </c>
      <c r="L4" s="61">
        <f>K4*100/D4</f>
        <v>-9.26885078806477E-16</v>
      </c>
      <c r="M4" s="59">
        <f>SUM(M97+M121++M123+M129)</f>
        <v>0</v>
      </c>
      <c r="N4" s="59">
        <f>SUM(N7+N97+N121+N123+N129)</f>
        <v>-9.369678366510925E-10</v>
      </c>
      <c r="O4" s="59">
        <f>Q4+R4</f>
        <v>1466.6499999983992</v>
      </c>
      <c r="P4" s="59">
        <f>O4*100/D4</f>
        <v>0.0014508673058499597</v>
      </c>
      <c r="Q4" s="59">
        <f>SUM(Q126+Q129)</f>
        <v>0.8699999999953434</v>
      </c>
      <c r="R4" s="59">
        <f>SUM(R126+R129)</f>
        <v>1465.7799999984038</v>
      </c>
    </row>
    <row r="5" spans="1:18" ht="18.75" customHeight="1">
      <c r="A5" s="76">
        <v>1</v>
      </c>
      <c r="B5" s="117" t="s">
        <v>264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6.5" customHeight="1">
      <c r="A6" s="2"/>
      <c r="B6" s="5" t="s">
        <v>166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7.25" customHeight="1">
      <c r="A7" s="2">
        <v>1.1</v>
      </c>
      <c r="B7" s="3" t="s">
        <v>167</v>
      </c>
      <c r="C7" s="95" t="s">
        <v>169</v>
      </c>
      <c r="D7" s="96">
        <f>F7+E7</f>
        <v>959386</v>
      </c>
      <c r="E7" s="97"/>
      <c r="F7" s="96">
        <f>960000-614</f>
        <v>959386</v>
      </c>
      <c r="G7" s="98">
        <f>I7+J7</f>
        <v>959385.5200000001</v>
      </c>
      <c r="H7" s="130">
        <f>G7*100/D7</f>
        <v>99.99994996800038</v>
      </c>
      <c r="I7" s="98"/>
      <c r="J7" s="98">
        <f>31521.9+219510+141540+37839.45+13759.8+43190+26445+65298.15+26497.8+45828.8+34840+35400+16878+108845.25+13920+18927+58859.4+6760+1171.2+12353.77</f>
        <v>959385.5200000001</v>
      </c>
      <c r="K7" s="98">
        <f>M7+N7</f>
        <v>0</v>
      </c>
      <c r="L7" s="98">
        <f>K7*100/D7</f>
        <v>0</v>
      </c>
      <c r="M7" s="98"/>
      <c r="N7" s="98">
        <f>28640+66454+36040.5-12080-45828.8-58859.4-6760-7606.3</f>
        <v>0</v>
      </c>
      <c r="O7" s="98">
        <f>D7-G7-K7</f>
        <v>0.4799999998649582</v>
      </c>
      <c r="P7" s="98">
        <f>O7*100/D7</f>
        <v>5.003199961902281E-05</v>
      </c>
      <c r="Q7" s="98">
        <f>E7-I7-M7</f>
        <v>0</v>
      </c>
      <c r="R7" s="98">
        <f>F7-J7-N7</f>
        <v>0.4799999998649582</v>
      </c>
    </row>
    <row r="8" spans="1:18" ht="16.5" customHeight="1">
      <c r="A8" s="2"/>
      <c r="B8" s="3" t="s">
        <v>168</v>
      </c>
      <c r="C8" s="3"/>
      <c r="D8" s="18"/>
      <c r="E8" s="3"/>
      <c r="F8" s="18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143" t="s">
        <v>119</v>
      </c>
      <c r="B9" s="5" t="s">
        <v>196</v>
      </c>
      <c r="C9" s="8"/>
      <c r="D9" s="9"/>
      <c r="E9" s="8"/>
      <c r="F9" s="9"/>
      <c r="G9" s="8"/>
      <c r="H9" s="8"/>
      <c r="I9" s="8"/>
      <c r="J9" s="6"/>
      <c r="K9" s="8"/>
      <c r="L9" s="8"/>
      <c r="M9" s="8"/>
      <c r="N9" s="8"/>
      <c r="O9" s="8"/>
      <c r="P9" s="8"/>
      <c r="Q9" s="8"/>
      <c r="R9" s="8"/>
    </row>
    <row r="10" spans="1:18" ht="16.5" customHeight="1">
      <c r="A10" s="7">
        <v>1.2</v>
      </c>
      <c r="B10" s="3" t="s">
        <v>197</v>
      </c>
      <c r="C10" s="135" t="s">
        <v>199</v>
      </c>
      <c r="D10" s="144">
        <f>F10+E10</f>
        <v>999983</v>
      </c>
      <c r="E10" s="145">
        <v>400000</v>
      </c>
      <c r="F10" s="144">
        <f>600000-17</f>
        <v>599983</v>
      </c>
      <c r="G10" s="146">
        <f>I10+J10</f>
        <v>999982.87</v>
      </c>
      <c r="H10" s="174">
        <f>G10*100/D10</f>
        <v>99.999986999779</v>
      </c>
      <c r="I10" s="146">
        <f>150000+34000+35000+36000+34000+34000+41000+36000</f>
        <v>400000</v>
      </c>
      <c r="J10" s="146">
        <f>18837+68452.65+8710.8+3579.14+23825+26656.75+16349+34920+12613.71+228096.35+69103.5+21858+32877+3063.97+31040</f>
        <v>599982.87</v>
      </c>
      <c r="K10" s="146">
        <f>M10+N10</f>
        <v>0</v>
      </c>
      <c r="L10" s="146">
        <f>K10*100/D10</f>
        <v>0</v>
      </c>
      <c r="M10" s="146"/>
      <c r="N10" s="146">
        <f>8710.8+7811.7-8710.8+61291.8-69103.5</f>
        <v>0</v>
      </c>
      <c r="O10" s="146">
        <f>D10-G10-K10</f>
        <v>0.1300000000046566</v>
      </c>
      <c r="P10" s="146">
        <f>O10*100/D10</f>
        <v>1.3000221004222732E-05</v>
      </c>
      <c r="Q10" s="146">
        <f>E10-I10-M10</f>
        <v>0</v>
      </c>
      <c r="R10" s="146">
        <f>F10-J10-N10</f>
        <v>0.1300000000046566</v>
      </c>
    </row>
    <row r="11" spans="1:18" ht="16.5" customHeight="1">
      <c r="A11" s="7"/>
      <c r="B11" s="3" t="s">
        <v>198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/>
      <c r="B12" s="5" t="s">
        <v>216</v>
      </c>
      <c r="C12" s="8"/>
      <c r="D12" s="9"/>
      <c r="E12" s="8"/>
      <c r="F12" s="9"/>
      <c r="G12" s="8"/>
      <c r="H12" s="8"/>
      <c r="I12" s="8"/>
      <c r="J12" s="6"/>
      <c r="K12" s="8"/>
      <c r="L12" s="8"/>
      <c r="M12" s="8"/>
      <c r="N12" s="8"/>
      <c r="O12" s="8"/>
      <c r="P12" s="8"/>
      <c r="Q12" s="8"/>
      <c r="R12" s="8"/>
    </row>
    <row r="13" spans="1:18" ht="16.5" customHeight="1">
      <c r="A13" s="7">
        <v>1.3</v>
      </c>
      <c r="B13" s="8" t="s">
        <v>200</v>
      </c>
      <c r="C13" s="135" t="s">
        <v>199</v>
      </c>
      <c r="D13" s="144">
        <f>F13+E13</f>
        <v>799907</v>
      </c>
      <c r="E13" s="145"/>
      <c r="F13" s="144">
        <f>800000-93</f>
        <v>799907</v>
      </c>
      <c r="G13" s="146">
        <f>I13+J13</f>
        <v>799906.5</v>
      </c>
      <c r="H13" s="174">
        <f>G13*100/D13</f>
        <v>99.99993749273354</v>
      </c>
      <c r="I13" s="146"/>
      <c r="J13" s="146">
        <f>44030.95+11371+25901+27586+27519.6+26810+72868.95+23126+42843.2+49490.25+80173.7+64030+79819.85+38636+62789+40581+25910+56420</f>
        <v>799906.5</v>
      </c>
      <c r="K13" s="146">
        <f>M13+N13</f>
        <v>0</v>
      </c>
      <c r="L13" s="146">
        <f>K13*100/D13</f>
        <v>0</v>
      </c>
      <c r="M13" s="146"/>
      <c r="N13" s="146">
        <f>7200+81686.4-42843.2-7407.2-38636</f>
        <v>0</v>
      </c>
      <c r="O13" s="146">
        <f>D13-G13-K13</f>
        <v>0.5</v>
      </c>
      <c r="P13" s="146">
        <f>O13*100/D13</f>
        <v>6.25072664697271E-05</v>
      </c>
      <c r="Q13" s="146">
        <f>E13-I13-M13</f>
        <v>0</v>
      </c>
      <c r="R13" s="146">
        <f>F13-J13-N13</f>
        <v>0.5</v>
      </c>
    </row>
    <row r="14" spans="1:18" ht="16.5" customHeight="1">
      <c r="A14" s="7"/>
      <c r="B14" s="8" t="s">
        <v>201</v>
      </c>
      <c r="C14" s="8"/>
      <c r="D14" s="9"/>
      <c r="E14" s="8"/>
      <c r="F14" s="9"/>
      <c r="G14" s="8"/>
      <c r="H14" s="8"/>
      <c r="I14" s="8"/>
      <c r="J14" s="6"/>
      <c r="K14" s="8"/>
      <c r="L14" s="8"/>
      <c r="M14" s="8"/>
      <c r="N14" s="8"/>
      <c r="O14" s="8"/>
      <c r="P14" s="8"/>
      <c r="Q14" s="8"/>
      <c r="R14" s="8"/>
    </row>
    <row r="15" spans="1:18" ht="16.5" customHeight="1">
      <c r="A15" s="7"/>
      <c r="B15" s="5" t="s">
        <v>217</v>
      </c>
      <c r="C15" s="8"/>
      <c r="D15" s="9"/>
      <c r="E15" s="8"/>
      <c r="F15" s="9"/>
      <c r="G15" s="8"/>
      <c r="H15" s="8"/>
      <c r="I15" s="8"/>
      <c r="J15" s="6"/>
      <c r="K15" s="8"/>
      <c r="L15" s="8"/>
      <c r="M15" s="8"/>
      <c r="N15" s="8"/>
      <c r="O15" s="8"/>
      <c r="P15" s="8"/>
      <c r="Q15" s="8"/>
      <c r="R15" s="8"/>
    </row>
    <row r="16" spans="1:18" ht="16.5" customHeight="1">
      <c r="A16" s="7">
        <v>1.4</v>
      </c>
      <c r="B16" s="8" t="s">
        <v>202</v>
      </c>
      <c r="C16" s="135" t="s">
        <v>199</v>
      </c>
      <c r="D16" s="144">
        <f>F16+E16</f>
        <v>199696</v>
      </c>
      <c r="E16" s="145"/>
      <c r="F16" s="144">
        <f>200000-304</f>
        <v>199696</v>
      </c>
      <c r="G16" s="146">
        <f>I16+J16</f>
        <v>199695.55000000002</v>
      </c>
      <c r="H16" s="174">
        <f>G16*100/D16</f>
        <v>99.99977465747936</v>
      </c>
      <c r="I16" s="146"/>
      <c r="J16" s="146">
        <f>26125.75+27350+5993.55+1100.9+29509+31218+40062.15+10816.2+27520</f>
        <v>199695.55000000002</v>
      </c>
      <c r="K16" s="146">
        <f>M16+N16</f>
        <v>3.694822225952521E-13</v>
      </c>
      <c r="L16" s="146">
        <f>K16*100/D16</f>
        <v>1.8502234526242493E-16</v>
      </c>
      <c r="M16" s="146"/>
      <c r="N16" s="146">
        <f>1200+10816.2-1100.9-10816.2-99.1</f>
        <v>3.694822225952521E-13</v>
      </c>
      <c r="O16" s="146">
        <f>D16-G16-K16</f>
        <v>0.4499999999821682</v>
      </c>
      <c r="P16" s="146">
        <f>O16*100/D16</f>
        <v>0.00022534252062243022</v>
      </c>
      <c r="Q16" s="146">
        <f>E16-I16-M16</f>
        <v>0</v>
      </c>
      <c r="R16" s="146">
        <f>F16-J16-N16</f>
        <v>0.4499999999821682</v>
      </c>
    </row>
    <row r="17" spans="1:18" ht="16.5" customHeight="1">
      <c r="A17" s="7"/>
      <c r="B17" s="8" t="s">
        <v>203</v>
      </c>
      <c r="C17" s="8"/>
      <c r="D17" s="9"/>
      <c r="E17" s="8"/>
      <c r="F17" s="9"/>
      <c r="G17" s="8"/>
      <c r="H17" s="8"/>
      <c r="I17" s="8"/>
      <c r="J17" s="6"/>
      <c r="K17" s="8"/>
      <c r="L17" s="8"/>
      <c r="M17" s="8"/>
      <c r="N17" s="8"/>
      <c r="O17" s="8"/>
      <c r="P17" s="8"/>
      <c r="Q17" s="8"/>
      <c r="R17" s="8"/>
    </row>
    <row r="18" spans="1:18" ht="16.5" customHeight="1">
      <c r="A18" s="7"/>
      <c r="B18" s="8" t="s">
        <v>204</v>
      </c>
      <c r="C18" s="8"/>
      <c r="D18" s="9"/>
      <c r="E18" s="8"/>
      <c r="F18" s="9"/>
      <c r="G18" s="8"/>
      <c r="H18" s="8"/>
      <c r="I18" s="8"/>
      <c r="J18" s="6"/>
      <c r="K18" s="8"/>
      <c r="L18" s="8"/>
      <c r="M18" s="8"/>
      <c r="N18" s="8"/>
      <c r="O18" s="8"/>
      <c r="P18" s="8"/>
      <c r="Q18" s="8"/>
      <c r="R18" s="8"/>
    </row>
    <row r="19" spans="1:18" ht="16.5" customHeight="1">
      <c r="A19" s="7"/>
      <c r="B19" s="5" t="s">
        <v>218</v>
      </c>
      <c r="C19" s="8"/>
      <c r="D19" s="9"/>
      <c r="E19" s="8"/>
      <c r="F19" s="9"/>
      <c r="G19" s="8"/>
      <c r="H19" s="8"/>
      <c r="I19" s="8"/>
      <c r="J19" s="6"/>
      <c r="K19" s="8"/>
      <c r="L19" s="8"/>
      <c r="M19" s="8"/>
      <c r="N19" s="8"/>
      <c r="O19" s="8"/>
      <c r="P19" s="8"/>
      <c r="Q19" s="8"/>
      <c r="R19" s="8"/>
    </row>
    <row r="20" spans="1:18" ht="16.5" customHeight="1">
      <c r="A20" s="7">
        <v>1.5</v>
      </c>
      <c r="B20" s="8" t="s">
        <v>205</v>
      </c>
      <c r="C20" s="135" t="s">
        <v>199</v>
      </c>
      <c r="D20" s="144">
        <f>F20+E20</f>
        <v>1279889</v>
      </c>
      <c r="E20" s="145"/>
      <c r="F20" s="144">
        <f>1280000-111</f>
        <v>1279889</v>
      </c>
      <c r="G20" s="146">
        <f>I20+J20</f>
        <v>1279888.6900000002</v>
      </c>
      <c r="H20" s="174">
        <f>G20*100/D20</f>
        <v>99.99997577914961</v>
      </c>
      <c r="I20" s="146"/>
      <c r="J20" s="146">
        <f>72238.95+49539+384285.68+100047.6+83594.25+19395.4+93560+174896.95+17658.5+22960+84760+40400+98990+22122.36+15440</f>
        <v>1279888.6900000002</v>
      </c>
      <c r="K20" s="146">
        <f>M20+N20</f>
        <v>0</v>
      </c>
      <c r="L20" s="146">
        <f>K20*100/D20</f>
        <v>0</v>
      </c>
      <c r="M20" s="146"/>
      <c r="N20" s="146">
        <f>41460.6+9600-14006.7-19395.4-17658.5</f>
        <v>0</v>
      </c>
      <c r="O20" s="146">
        <f>D20-G20-K20</f>
        <v>0.3099999998230487</v>
      </c>
      <c r="P20" s="146">
        <f>O20*100/D20</f>
        <v>2.422085038804527E-05</v>
      </c>
      <c r="Q20" s="146">
        <f>E20-I20-M20</f>
        <v>0</v>
      </c>
      <c r="R20" s="146">
        <f>F20-J20-N20</f>
        <v>0.3099999998230487</v>
      </c>
    </row>
    <row r="21" spans="1:18" ht="16.5" customHeight="1">
      <c r="A21" s="7"/>
      <c r="B21" s="8" t="s">
        <v>206</v>
      </c>
      <c r="C21" s="8"/>
      <c r="D21" s="9"/>
      <c r="E21" s="8"/>
      <c r="F21" s="9"/>
      <c r="G21" s="8"/>
      <c r="H21" s="45"/>
      <c r="I21" s="8"/>
      <c r="J21" s="6"/>
      <c r="K21" s="8"/>
      <c r="L21" s="8"/>
      <c r="M21" s="8"/>
      <c r="N21" s="8"/>
      <c r="O21" s="8"/>
      <c r="P21" s="8"/>
      <c r="Q21" s="8"/>
      <c r="R21" s="8"/>
    </row>
    <row r="22" spans="1:18" ht="16.5" customHeight="1">
      <c r="A22" s="7"/>
      <c r="B22" s="8" t="s">
        <v>207</v>
      </c>
      <c r="C22" s="8"/>
      <c r="D22" s="9"/>
      <c r="E22" s="8"/>
      <c r="F22" s="9"/>
      <c r="G22" s="8"/>
      <c r="H22" s="45"/>
      <c r="I22" s="8"/>
      <c r="J22" s="6"/>
      <c r="K22" s="8"/>
      <c r="L22" s="8"/>
      <c r="M22" s="8"/>
      <c r="N22" s="8"/>
      <c r="O22" s="8"/>
      <c r="P22" s="8"/>
      <c r="Q22" s="8"/>
      <c r="R22" s="8"/>
    </row>
    <row r="23" spans="1:18" ht="16.5" customHeight="1">
      <c r="A23" s="7"/>
      <c r="B23" s="5" t="s">
        <v>219</v>
      </c>
      <c r="C23" s="8"/>
      <c r="D23" s="9"/>
      <c r="E23" s="8"/>
      <c r="F23" s="9"/>
      <c r="G23" s="8"/>
      <c r="H23" s="45"/>
      <c r="I23" s="8"/>
      <c r="J23" s="6"/>
      <c r="K23" s="8"/>
      <c r="L23" s="8"/>
      <c r="M23" s="8"/>
      <c r="N23" s="8"/>
      <c r="O23" s="8"/>
      <c r="P23" s="8"/>
      <c r="Q23" s="8"/>
      <c r="R23" s="8"/>
    </row>
    <row r="24" spans="1:18" ht="16.5" customHeight="1">
      <c r="A24" s="7">
        <v>1.6</v>
      </c>
      <c r="B24" s="8" t="s">
        <v>208</v>
      </c>
      <c r="C24" s="135" t="s">
        <v>199</v>
      </c>
      <c r="D24" s="144">
        <f>F24+E24</f>
        <v>799766</v>
      </c>
      <c r="E24" s="145"/>
      <c r="F24" s="144">
        <f>800000-234</f>
        <v>799766</v>
      </c>
      <c r="G24" s="146">
        <f>I24+J24</f>
        <v>799765.03</v>
      </c>
      <c r="H24" s="174">
        <f>G24*100/D24</f>
        <v>99.999878714524</v>
      </c>
      <c r="I24" s="146"/>
      <c r="J24" s="146">
        <f>49248+24358+36610+23895.78+18187+46156+47180+62272.45+42572.65+86400+32602+152694.9+46780+105164+5747.5+15165+4731.75</f>
        <v>799765.03</v>
      </c>
      <c r="K24" s="146">
        <f>M24+N24</f>
        <v>0</v>
      </c>
      <c r="L24" s="146">
        <f>K24*100/D24</f>
        <v>0</v>
      </c>
      <c r="M24" s="146"/>
      <c r="N24" s="146">
        <f>158434.8+5880-42572.65+4800-21378.15-105164</f>
        <v>0</v>
      </c>
      <c r="O24" s="146">
        <f>D24-G24-K24</f>
        <v>0.9699999999720603</v>
      </c>
      <c r="P24" s="146">
        <f>O24*100/D24</f>
        <v>0.00012128547599823703</v>
      </c>
      <c r="Q24" s="146">
        <f>E24-I24-M24</f>
        <v>0</v>
      </c>
      <c r="R24" s="146">
        <f>F24-J24-N24</f>
        <v>0.9699999999720603</v>
      </c>
    </row>
    <row r="25" spans="1:18" ht="16.5" customHeight="1">
      <c r="A25" s="7"/>
      <c r="B25" s="8" t="s">
        <v>209</v>
      </c>
      <c r="C25" s="8"/>
      <c r="D25" s="9"/>
      <c r="E25" s="8"/>
      <c r="F25" s="9"/>
      <c r="G25" s="8"/>
      <c r="H25" s="8"/>
      <c r="I25" s="8"/>
      <c r="J25" s="6"/>
      <c r="K25" s="8"/>
      <c r="L25" s="8"/>
      <c r="M25" s="8"/>
      <c r="N25" s="8"/>
      <c r="O25" s="8"/>
      <c r="P25" s="8"/>
      <c r="Q25" s="8"/>
      <c r="R25" s="8"/>
    </row>
    <row r="26" spans="1:18" ht="16.5" customHeight="1">
      <c r="A26" s="7"/>
      <c r="B26" s="8" t="s">
        <v>210</v>
      </c>
      <c r="C26" s="8"/>
      <c r="D26" s="9"/>
      <c r="E26" s="8"/>
      <c r="F26" s="9"/>
      <c r="G26" s="8"/>
      <c r="H26" s="8"/>
      <c r="I26" s="8"/>
      <c r="J26" s="6"/>
      <c r="K26" s="8"/>
      <c r="L26" s="8"/>
      <c r="M26" s="8"/>
      <c r="N26" s="8"/>
      <c r="O26" s="8"/>
      <c r="P26" s="8"/>
      <c r="Q26" s="8"/>
      <c r="R26" s="8"/>
    </row>
    <row r="27" spans="1:18" ht="16.5" customHeight="1">
      <c r="A27" s="7"/>
      <c r="B27" s="8" t="s">
        <v>211</v>
      </c>
      <c r="C27" s="8"/>
      <c r="D27" s="9"/>
      <c r="E27" s="8"/>
      <c r="F27" s="9"/>
      <c r="G27" s="8"/>
      <c r="H27" s="8"/>
      <c r="I27" s="8"/>
      <c r="J27" s="6"/>
      <c r="K27" s="8"/>
      <c r="L27" s="8"/>
      <c r="M27" s="8"/>
      <c r="N27" s="8"/>
      <c r="O27" s="8"/>
      <c r="P27" s="8"/>
      <c r="Q27" s="8"/>
      <c r="R27" s="8"/>
    </row>
    <row r="28" spans="1:18" ht="16.5" customHeight="1">
      <c r="A28" s="7"/>
      <c r="B28" s="5" t="s">
        <v>220</v>
      </c>
      <c r="C28" s="8"/>
      <c r="D28" s="9"/>
      <c r="E28" s="8"/>
      <c r="F28" s="9"/>
      <c r="G28" s="8"/>
      <c r="H28" s="8"/>
      <c r="I28" s="8"/>
      <c r="J28" s="6"/>
      <c r="K28" s="8"/>
      <c r="L28" s="8"/>
      <c r="M28" s="8"/>
      <c r="N28" s="8"/>
      <c r="O28" s="8"/>
      <c r="P28" s="8"/>
      <c r="Q28" s="8"/>
      <c r="R28" s="8"/>
    </row>
    <row r="29" spans="1:18" ht="16.5" customHeight="1">
      <c r="A29" s="7">
        <v>1.7</v>
      </c>
      <c r="B29" s="8" t="s">
        <v>212</v>
      </c>
      <c r="C29" s="135" t="s">
        <v>199</v>
      </c>
      <c r="D29" s="144">
        <f>F29+E29</f>
        <v>659952</v>
      </c>
      <c r="E29" s="145"/>
      <c r="F29" s="144">
        <f>660000-48</f>
        <v>659952</v>
      </c>
      <c r="G29" s="146">
        <f>I29+J29</f>
        <v>659951.88</v>
      </c>
      <c r="H29" s="174">
        <f>G29*100/D29</f>
        <v>99.9999818168594</v>
      </c>
      <c r="I29" s="146"/>
      <c r="J29" s="146">
        <f>34399.5+155208.43+65895+112615.65+48072+87076.2+5764+58687.3+1600+44000+9000+28108.8+9525</f>
        <v>659951.88</v>
      </c>
      <c r="K29" s="146">
        <f>M29+N29</f>
        <v>0</v>
      </c>
      <c r="L29" s="146">
        <f>K29*100/D29</f>
        <v>0</v>
      </c>
      <c r="M29" s="146"/>
      <c r="N29" s="146">
        <f>96144+13820.7-48072-3205.4-58687.3</f>
        <v>0</v>
      </c>
      <c r="O29" s="146">
        <f>D29-G29-K29</f>
        <v>0.11999999999534339</v>
      </c>
      <c r="P29" s="146">
        <f>O29*100/D29</f>
        <v>1.818314059133746E-05</v>
      </c>
      <c r="Q29" s="146">
        <f>E29-I29-M29</f>
        <v>0</v>
      </c>
      <c r="R29" s="146">
        <f>F29-J29-N29</f>
        <v>0.11999999999534339</v>
      </c>
    </row>
    <row r="30" spans="1:18" ht="16.5" customHeight="1">
      <c r="A30" s="7"/>
      <c r="B30" s="8" t="s">
        <v>210</v>
      </c>
      <c r="C30" s="8"/>
      <c r="D30" s="9"/>
      <c r="E30" s="8"/>
      <c r="F30" s="9"/>
      <c r="G30" s="8"/>
      <c r="H30" s="8"/>
      <c r="I30" s="8"/>
      <c r="J30" s="6"/>
      <c r="K30" s="8"/>
      <c r="L30" s="8"/>
      <c r="M30" s="8"/>
      <c r="N30" s="8"/>
      <c r="O30" s="8"/>
      <c r="P30" s="8"/>
      <c r="Q30" s="8"/>
      <c r="R30" s="8"/>
    </row>
    <row r="31" spans="1:18" ht="16.5" customHeight="1">
      <c r="A31" s="7"/>
      <c r="B31" s="8" t="s">
        <v>211</v>
      </c>
      <c r="C31" s="8"/>
      <c r="D31" s="9"/>
      <c r="E31" s="8"/>
      <c r="F31" s="9"/>
      <c r="G31" s="8"/>
      <c r="H31" s="8"/>
      <c r="I31" s="8"/>
      <c r="J31" s="6"/>
      <c r="K31" s="8"/>
      <c r="L31" s="8"/>
      <c r="M31" s="8"/>
      <c r="N31" s="8"/>
      <c r="O31" s="8"/>
      <c r="P31" s="8"/>
      <c r="Q31" s="8"/>
      <c r="R31" s="8"/>
    </row>
    <row r="32" spans="1:18" ht="16.5" customHeight="1">
      <c r="A32" s="7"/>
      <c r="B32" s="5" t="s">
        <v>221</v>
      </c>
      <c r="C32" s="8"/>
      <c r="D32" s="9"/>
      <c r="E32" s="8"/>
      <c r="F32" s="9"/>
      <c r="G32" s="8"/>
      <c r="H32" s="8"/>
      <c r="I32" s="8"/>
      <c r="J32" s="6"/>
      <c r="K32" s="8"/>
      <c r="L32" s="8"/>
      <c r="M32" s="8"/>
      <c r="N32" s="8"/>
      <c r="O32" s="8"/>
      <c r="P32" s="8"/>
      <c r="Q32" s="8"/>
      <c r="R32" s="8"/>
    </row>
    <row r="33" spans="1:18" ht="16.5" customHeight="1">
      <c r="A33" s="7">
        <v>1.8</v>
      </c>
      <c r="B33" s="8" t="s">
        <v>213</v>
      </c>
      <c r="C33" s="135" t="s">
        <v>199</v>
      </c>
      <c r="D33" s="144">
        <f>F33+E33</f>
        <v>749957</v>
      </c>
      <c r="E33" s="145"/>
      <c r="F33" s="144">
        <f>750000-43</f>
        <v>749957</v>
      </c>
      <c r="G33" s="146">
        <f>I33+J33</f>
        <v>749956.22</v>
      </c>
      <c r="H33" s="174">
        <f>G33*100/D33</f>
        <v>99.99989599403699</v>
      </c>
      <c r="I33" s="146"/>
      <c r="J33" s="146">
        <f>34399.5+177222.47+68395+66244.5+63072+152383.35+70604.4+22500+12550+27588+54997</f>
        <v>749956.22</v>
      </c>
      <c r="K33" s="146">
        <f>M33+N33</f>
        <v>0</v>
      </c>
      <c r="L33" s="146">
        <f>K33*100/D33</f>
        <v>0</v>
      </c>
      <c r="M33" s="146"/>
      <c r="N33" s="146">
        <f>111144+22532.4-63072-70604.4</f>
        <v>0</v>
      </c>
      <c r="O33" s="146">
        <f>D33-G33-K33</f>
        <v>0.7800000000279397</v>
      </c>
      <c r="P33" s="146">
        <f>O33*100/D33</f>
        <v>0.00010400596301227133</v>
      </c>
      <c r="Q33" s="146">
        <f>E33-I33-M33</f>
        <v>0</v>
      </c>
      <c r="R33" s="146">
        <f>F33-J33-N33</f>
        <v>0.7800000000279397</v>
      </c>
    </row>
    <row r="34" spans="1:18" ht="16.5" customHeight="1">
      <c r="A34" s="7"/>
      <c r="B34" s="8" t="s">
        <v>210</v>
      </c>
      <c r="C34" s="8"/>
      <c r="D34" s="9"/>
      <c r="E34" s="8"/>
      <c r="F34" s="9"/>
      <c r="G34" s="8"/>
      <c r="H34" s="8"/>
      <c r="I34" s="8"/>
      <c r="J34" s="6"/>
      <c r="K34" s="8"/>
      <c r="L34" s="8"/>
      <c r="M34" s="8"/>
      <c r="N34" s="8"/>
      <c r="O34" s="8"/>
      <c r="P34" s="8"/>
      <c r="Q34" s="8"/>
      <c r="R34" s="8"/>
    </row>
    <row r="35" spans="1:18" ht="16.5" customHeight="1">
      <c r="A35" s="20"/>
      <c r="B35" s="19" t="s">
        <v>211</v>
      </c>
      <c r="C35" s="19"/>
      <c r="D35" s="149"/>
      <c r="E35" s="19"/>
      <c r="F35" s="149"/>
      <c r="G35" s="19"/>
      <c r="H35" s="19"/>
      <c r="I35" s="19"/>
      <c r="J35" s="150"/>
      <c r="K35" s="19"/>
      <c r="L35" s="19"/>
      <c r="M35" s="19"/>
      <c r="N35" s="19"/>
      <c r="O35" s="19"/>
      <c r="P35" s="19"/>
      <c r="Q35" s="19"/>
      <c r="R35" s="19"/>
    </row>
    <row r="36" spans="1:19" ht="17.25" customHeight="1">
      <c r="A36" s="46"/>
      <c r="B36" s="44" t="s">
        <v>222</v>
      </c>
      <c r="C36" s="52"/>
      <c r="D36" s="53"/>
      <c r="E36" s="52"/>
      <c r="F36" s="53"/>
      <c r="G36" s="52"/>
      <c r="H36" s="52"/>
      <c r="I36" s="52"/>
      <c r="J36" s="54"/>
      <c r="K36" s="52"/>
      <c r="L36" s="52"/>
      <c r="M36" s="52"/>
      <c r="N36" s="52"/>
      <c r="O36" s="52"/>
      <c r="P36" s="52"/>
      <c r="Q36" s="52"/>
      <c r="R36" s="52"/>
      <c r="S36" s="1">
        <v>2</v>
      </c>
    </row>
    <row r="37" spans="1:18" ht="17.25" customHeight="1">
      <c r="A37" s="7">
        <v>1.9</v>
      </c>
      <c r="B37" s="8" t="s">
        <v>214</v>
      </c>
      <c r="C37" s="135" t="s">
        <v>199</v>
      </c>
      <c r="D37" s="144">
        <f>F37+E37</f>
        <v>999659</v>
      </c>
      <c r="E37" s="145"/>
      <c r="F37" s="144">
        <f>1000000-341</f>
        <v>999659</v>
      </c>
      <c r="G37" s="146">
        <f>I37+J37</f>
        <v>999658.8400000001</v>
      </c>
      <c r="H37" s="174">
        <f>G37*100/D37</f>
        <v>99.99998399454215</v>
      </c>
      <c r="I37" s="146"/>
      <c r="J37" s="146">
        <f>64896.09+17199.75+83300+94110+59620.05+42823.4+181408.75+100491.8+30000+56059+21700+248050</f>
        <v>999658.8400000001</v>
      </c>
      <c r="K37" s="146">
        <f>M37+N37</f>
        <v>8.71835936777643E-12</v>
      </c>
      <c r="L37" s="146">
        <f>K37*100/D37</f>
        <v>8.721333342446203E-16</v>
      </c>
      <c r="M37" s="146"/>
      <c r="N37" s="146">
        <f>30800+38036+16810.8+26625.2+31267.1-42823.4-100491.8-201.8-22.1</f>
        <v>8.71835936777643E-12</v>
      </c>
      <c r="O37" s="146">
        <f>D37-G37-K37</f>
        <v>0.1599999999074626</v>
      </c>
      <c r="P37" s="146">
        <f>O37*100/D37</f>
        <v>1.600545785187375E-05</v>
      </c>
      <c r="Q37" s="146">
        <f>E37-I37-M37</f>
        <v>0</v>
      </c>
      <c r="R37" s="146">
        <f>F37-J37-N37</f>
        <v>0.1599999999074626</v>
      </c>
    </row>
    <row r="38" spans="1:18" ht="18.75" customHeight="1">
      <c r="A38" s="7"/>
      <c r="B38" s="8" t="s">
        <v>215</v>
      </c>
      <c r="C38" s="8"/>
      <c r="D38" s="9"/>
      <c r="E38" s="8"/>
      <c r="F38" s="9"/>
      <c r="G38" s="8"/>
      <c r="H38" s="8"/>
      <c r="I38" s="8"/>
      <c r="J38" s="6"/>
      <c r="K38" s="8"/>
      <c r="L38" s="8"/>
      <c r="M38" s="8"/>
      <c r="N38" s="8"/>
      <c r="O38" s="8"/>
      <c r="P38" s="8"/>
      <c r="Q38" s="8"/>
      <c r="R38" s="8"/>
    </row>
    <row r="39" spans="1:18" ht="18.75" customHeight="1">
      <c r="A39" s="7"/>
      <c r="B39" s="8" t="s">
        <v>201</v>
      </c>
      <c r="C39" s="8"/>
      <c r="D39" s="9"/>
      <c r="E39" s="8"/>
      <c r="F39" s="9"/>
      <c r="G39" s="8"/>
      <c r="H39" s="8"/>
      <c r="I39" s="8"/>
      <c r="J39" s="6"/>
      <c r="K39" s="8"/>
      <c r="L39" s="8"/>
      <c r="M39" s="8"/>
      <c r="N39" s="8"/>
      <c r="O39" s="8"/>
      <c r="P39" s="8"/>
      <c r="Q39" s="8"/>
      <c r="R39" s="8"/>
    </row>
    <row r="40" spans="1:18" ht="18.75" customHeight="1">
      <c r="A40" s="7"/>
      <c r="B40" s="5" t="s">
        <v>236</v>
      </c>
      <c r="C40" s="8"/>
      <c r="D40" s="9"/>
      <c r="E40" s="8"/>
      <c r="F40" s="9"/>
      <c r="G40" s="8"/>
      <c r="H40" s="8"/>
      <c r="I40" s="8"/>
      <c r="J40" s="6"/>
      <c r="K40" s="8"/>
      <c r="L40" s="8"/>
      <c r="M40" s="8"/>
      <c r="N40" s="8"/>
      <c r="O40" s="8"/>
      <c r="P40" s="8"/>
      <c r="Q40" s="8"/>
      <c r="R40" s="8"/>
    </row>
    <row r="41" spans="1:18" ht="20.25" customHeight="1">
      <c r="A41" s="139" t="s">
        <v>187</v>
      </c>
      <c r="B41" s="8" t="s">
        <v>223</v>
      </c>
      <c r="C41" s="135" t="s">
        <v>199</v>
      </c>
      <c r="D41" s="144">
        <f>F41+E41</f>
        <v>499970</v>
      </c>
      <c r="E41" s="145"/>
      <c r="F41" s="144">
        <f>500000-30</f>
        <v>499970</v>
      </c>
      <c r="G41" s="146">
        <f>I41+J41</f>
        <v>499969.55</v>
      </c>
      <c r="H41" s="174">
        <f>G41*100/D41</f>
        <v>99.99990999459968</v>
      </c>
      <c r="I41" s="146"/>
      <c r="J41" s="146">
        <f>99510+35900+30000+19367+30000+26497.8+16960+108845.25+50309.5+82580</f>
        <v>499969.55</v>
      </c>
      <c r="K41" s="146">
        <f>M41+N41</f>
        <v>-2.9096725029376103E-12</v>
      </c>
      <c r="L41" s="146">
        <f>K41*100/D41</f>
        <v>-5.819694187526472E-16</v>
      </c>
      <c r="M41" s="146"/>
      <c r="N41" s="146">
        <f>29120+4800+33379.95-16960-50309.5-30.45</f>
        <v>-2.9096725029376103E-12</v>
      </c>
      <c r="O41" s="146">
        <f>D41-G41-K41</f>
        <v>0.4500000000145512</v>
      </c>
      <c r="P41" s="146">
        <f>O41*100/D41</f>
        <v>9.000540032692985E-05</v>
      </c>
      <c r="Q41" s="146">
        <f>E41-I41-M41</f>
        <v>0</v>
      </c>
      <c r="R41" s="146">
        <f>F41-J41-N41</f>
        <v>0.4500000000145512</v>
      </c>
    </row>
    <row r="42" spans="1:18" ht="19.5" customHeight="1">
      <c r="A42" s="7"/>
      <c r="B42" s="8" t="s">
        <v>224</v>
      </c>
      <c r="C42" s="8"/>
      <c r="D42" s="9"/>
      <c r="E42" s="8"/>
      <c r="F42" s="9"/>
      <c r="G42" s="8"/>
      <c r="H42" s="45"/>
      <c r="I42" s="8"/>
      <c r="J42" s="6"/>
      <c r="K42" s="8"/>
      <c r="L42" s="8"/>
      <c r="M42" s="8"/>
      <c r="N42" s="8"/>
      <c r="O42" s="8"/>
      <c r="P42" s="8"/>
      <c r="Q42" s="8"/>
      <c r="R42" s="8"/>
    </row>
    <row r="43" spans="1:18" ht="20.25" customHeight="1">
      <c r="A43" s="7"/>
      <c r="B43" s="8" t="s">
        <v>265</v>
      </c>
      <c r="C43" s="8"/>
      <c r="D43" s="9"/>
      <c r="E43" s="8"/>
      <c r="F43" s="9"/>
      <c r="G43" s="8"/>
      <c r="H43" s="45"/>
      <c r="I43" s="8"/>
      <c r="J43" s="6"/>
      <c r="K43" s="8"/>
      <c r="L43" s="8"/>
      <c r="M43" s="8"/>
      <c r="N43" s="8"/>
      <c r="O43" s="8"/>
      <c r="P43" s="8"/>
      <c r="Q43" s="8"/>
      <c r="R43" s="8"/>
    </row>
    <row r="44" spans="1:18" ht="18.75" customHeight="1">
      <c r="A44" s="7"/>
      <c r="B44" s="5" t="s">
        <v>237</v>
      </c>
      <c r="C44" s="8"/>
      <c r="D44" s="9"/>
      <c r="E44" s="8"/>
      <c r="F44" s="9"/>
      <c r="G44" s="8"/>
      <c r="H44" s="45"/>
      <c r="I44" s="8"/>
      <c r="J44" s="6"/>
      <c r="K44" s="8"/>
      <c r="L44" s="8"/>
      <c r="M44" s="8"/>
      <c r="N44" s="8"/>
      <c r="O44" s="8"/>
      <c r="P44" s="8"/>
      <c r="Q44" s="8"/>
      <c r="R44" s="8"/>
    </row>
    <row r="45" spans="1:18" ht="18" customHeight="1">
      <c r="A45" s="139" t="s">
        <v>188</v>
      </c>
      <c r="B45" s="8" t="s">
        <v>225</v>
      </c>
      <c r="C45" s="135" t="s">
        <v>199</v>
      </c>
      <c r="D45" s="144">
        <f>F45+E45</f>
        <v>389899</v>
      </c>
      <c r="E45" s="145"/>
      <c r="F45" s="144">
        <f>390000-101</f>
        <v>389899</v>
      </c>
      <c r="G45" s="146">
        <f>I45+J45</f>
        <v>389898.9700000001</v>
      </c>
      <c r="H45" s="174">
        <f>G45*100/D45</f>
        <v>99.9999923056997</v>
      </c>
      <c r="I45" s="146"/>
      <c r="J45" s="146">
        <f>92862+55810+37208.55+15921.6+20171+47380+60566.4+18827.9+6476+29025.4+3600+2050.12</f>
        <v>389898.9700000001</v>
      </c>
      <c r="K45" s="146">
        <f>M45+N45</f>
        <v>0</v>
      </c>
      <c r="L45" s="146">
        <f>K45*100/D45</f>
        <v>0</v>
      </c>
      <c r="M45" s="146"/>
      <c r="N45" s="146">
        <f>15969.8-15921.6+18827.9-48.2-18827.9</f>
        <v>0</v>
      </c>
      <c r="O45" s="146">
        <f>D45-G45-K45</f>
        <v>0.029999999911524355</v>
      </c>
      <c r="P45" s="146">
        <f>O45*100/D45</f>
        <v>7.69430029610857E-06</v>
      </c>
      <c r="Q45" s="146">
        <f>E45-I45-M45</f>
        <v>0</v>
      </c>
      <c r="R45" s="146">
        <f>F45-J45-N45</f>
        <v>0.029999999911524355</v>
      </c>
    </row>
    <row r="46" spans="1:18" ht="18.75" customHeight="1">
      <c r="A46" s="7"/>
      <c r="B46" s="8" t="s">
        <v>226</v>
      </c>
      <c r="C46" s="8"/>
      <c r="D46" s="9"/>
      <c r="E46" s="8"/>
      <c r="F46" s="9"/>
      <c r="G46" s="8"/>
      <c r="H46" s="8"/>
      <c r="I46" s="8"/>
      <c r="J46" s="6"/>
      <c r="K46" s="8"/>
      <c r="L46" s="8"/>
      <c r="M46" s="8"/>
      <c r="N46" s="8"/>
      <c r="O46" s="8"/>
      <c r="P46" s="8"/>
      <c r="Q46" s="8"/>
      <c r="R46" s="8"/>
    </row>
    <row r="47" spans="1:18" ht="19.5" customHeight="1">
      <c r="A47" s="7"/>
      <c r="B47" s="45" t="s">
        <v>227</v>
      </c>
      <c r="C47" s="8"/>
      <c r="D47" s="9"/>
      <c r="E47" s="8"/>
      <c r="F47" s="9"/>
      <c r="G47" s="8"/>
      <c r="H47" s="8"/>
      <c r="I47" s="8"/>
      <c r="J47" s="6"/>
      <c r="K47" s="8"/>
      <c r="L47" s="8"/>
      <c r="M47" s="8"/>
      <c r="N47" s="8"/>
      <c r="O47" s="8"/>
      <c r="P47" s="8"/>
      <c r="Q47" s="8"/>
      <c r="R47" s="8"/>
    </row>
    <row r="48" spans="1:18" ht="18.75" customHeight="1">
      <c r="A48" s="7"/>
      <c r="B48" s="5" t="s">
        <v>238</v>
      </c>
      <c r="C48" s="8"/>
      <c r="D48" s="9"/>
      <c r="E48" s="8"/>
      <c r="F48" s="9"/>
      <c r="G48" s="8"/>
      <c r="H48" s="8"/>
      <c r="I48" s="8"/>
      <c r="J48" s="6"/>
      <c r="K48" s="8"/>
      <c r="L48" s="8"/>
      <c r="M48" s="8"/>
      <c r="N48" s="8"/>
      <c r="O48" s="8"/>
      <c r="P48" s="8"/>
      <c r="Q48" s="8"/>
      <c r="R48" s="8"/>
    </row>
    <row r="49" spans="1:18" ht="18" customHeight="1">
      <c r="A49" s="139" t="s">
        <v>189</v>
      </c>
      <c r="B49" s="8" t="s">
        <v>228</v>
      </c>
      <c r="C49" s="135" t="s">
        <v>199</v>
      </c>
      <c r="D49" s="144">
        <f>F49+E49</f>
        <v>2300000</v>
      </c>
      <c r="E49" s="145"/>
      <c r="F49" s="144">
        <v>2300000</v>
      </c>
      <c r="G49" s="146">
        <f>I49+J49</f>
        <v>2299996.0900000003</v>
      </c>
      <c r="H49" s="174">
        <f>G49*100/D49</f>
        <v>99.99983000000002</v>
      </c>
      <c r="I49" s="146"/>
      <c r="J49" s="146">
        <f>47911.75+74816+146418.75+270639.61+104967.4+119664+203595.9+57022.4+108000+90935+17421.6+208246.95+192000+21985+2456+4693.02+7984+105992.3+7608.94+78421+75708+29444.1+31140+85160+4098.1+65299.15+20600+56900+9360+33373.62+18133.5</f>
        <v>2299996.0900000003</v>
      </c>
      <c r="K49" s="146">
        <f>M49+N49</f>
        <v>6.548361852765083E-11</v>
      </c>
      <c r="L49" s="146">
        <f>K49*100/D49</f>
        <v>2.8471138490282972E-15</v>
      </c>
      <c r="M49" s="146"/>
      <c r="N49" s="146">
        <f>227664+36000+21840+64845.8+57022.4-104967.4-119664-240-57022.4-108000+8820+108794.8-17421.6-56.8+40843.2+31160+29444.1-105992.3-10053.6-42412.1+9120-29444.1-31140+9013.5-20-18133.5</f>
        <v>6.548361852765083E-11</v>
      </c>
      <c r="O49" s="146">
        <f>D49-G49-K49</f>
        <v>3.9099999996178667</v>
      </c>
      <c r="P49" s="146">
        <f>O49*100/D49</f>
        <v>0.0001699999999833855</v>
      </c>
      <c r="Q49" s="146">
        <f>E49-I49-M49</f>
        <v>0</v>
      </c>
      <c r="R49" s="146">
        <f>F49-J49-N49</f>
        <v>3.9099999996178667</v>
      </c>
    </row>
    <row r="50" spans="1:18" ht="18" customHeight="1">
      <c r="A50" s="7"/>
      <c r="B50" s="45" t="s">
        <v>229</v>
      </c>
      <c r="C50" s="8"/>
      <c r="D50" s="9"/>
      <c r="E50" s="8"/>
      <c r="F50" s="9"/>
      <c r="G50" s="8"/>
      <c r="H50" s="8"/>
      <c r="I50" s="8"/>
      <c r="J50" s="6"/>
      <c r="K50" s="8"/>
      <c r="L50" s="8"/>
      <c r="M50" s="8"/>
      <c r="N50" s="8"/>
      <c r="O50" s="8"/>
      <c r="P50" s="8"/>
      <c r="Q50" s="8"/>
      <c r="R50" s="8"/>
    </row>
    <row r="51" spans="1:18" ht="18.75" customHeight="1">
      <c r="A51" s="7"/>
      <c r="B51" s="5" t="s">
        <v>239</v>
      </c>
      <c r="C51" s="8"/>
      <c r="D51" s="9"/>
      <c r="E51" s="8"/>
      <c r="F51" s="9"/>
      <c r="G51" s="8"/>
      <c r="H51" s="8"/>
      <c r="I51" s="8"/>
      <c r="J51" s="6"/>
      <c r="K51" s="8"/>
      <c r="L51" s="8"/>
      <c r="M51" s="8"/>
      <c r="N51" s="8"/>
      <c r="O51" s="8"/>
      <c r="P51" s="8"/>
      <c r="Q51" s="8"/>
      <c r="R51" s="8"/>
    </row>
    <row r="52" spans="1:18" ht="18" customHeight="1">
      <c r="A52" s="139" t="s">
        <v>192</v>
      </c>
      <c r="B52" s="8" t="s">
        <v>230</v>
      </c>
      <c r="C52" s="135" t="s">
        <v>199</v>
      </c>
      <c r="D52" s="144">
        <f>F52+E52</f>
        <v>359915</v>
      </c>
      <c r="E52" s="145"/>
      <c r="F52" s="144">
        <f>360000-85</f>
        <v>359915</v>
      </c>
      <c r="G52" s="146">
        <f>I52+J52</f>
        <v>359914.19</v>
      </c>
      <c r="H52" s="174">
        <f>G52*100/D52</f>
        <v>99.99977494686246</v>
      </c>
      <c r="I52" s="146"/>
      <c r="J52" s="146">
        <f>14936+37839.45+17079+64290.94+24570+70345.35+27040.5+39083+9778.95+54951</f>
        <v>359914.19</v>
      </c>
      <c r="K52" s="146">
        <f>M52+N52</f>
        <v>0</v>
      </c>
      <c r="L52" s="146">
        <f>K52*100/D52</f>
        <v>0</v>
      </c>
      <c r="M52" s="146"/>
      <c r="N52" s="146">
        <f>27040.5-27040.5</f>
        <v>0</v>
      </c>
      <c r="O52" s="146">
        <f>D52-G52-K52</f>
        <v>0.8099999999976717</v>
      </c>
      <c r="P52" s="146">
        <f>O52*100/D52</f>
        <v>0.0002250531375457182</v>
      </c>
      <c r="Q52" s="146">
        <f>E52-I52-M52</f>
        <v>0</v>
      </c>
      <c r="R52" s="146">
        <f>F52-J52-N52</f>
        <v>0.8099999999976717</v>
      </c>
    </row>
    <row r="53" spans="1:18" ht="18" customHeight="1">
      <c r="A53" s="7"/>
      <c r="B53" s="8" t="s">
        <v>231</v>
      </c>
      <c r="C53" s="8"/>
      <c r="D53" s="9"/>
      <c r="E53" s="8"/>
      <c r="F53" s="9"/>
      <c r="G53" s="8"/>
      <c r="H53" s="8"/>
      <c r="I53" s="8"/>
      <c r="J53" s="6"/>
      <c r="K53" s="8"/>
      <c r="L53" s="8"/>
      <c r="M53" s="8"/>
      <c r="N53" s="8"/>
      <c r="O53" s="8"/>
      <c r="P53" s="8"/>
      <c r="Q53" s="8"/>
      <c r="R53" s="8"/>
    </row>
    <row r="54" spans="1:18" ht="18" customHeight="1">
      <c r="A54" s="7"/>
      <c r="B54" s="8" t="s">
        <v>232</v>
      </c>
      <c r="C54" s="8"/>
      <c r="D54" s="9"/>
      <c r="E54" s="8"/>
      <c r="F54" s="9"/>
      <c r="G54" s="8"/>
      <c r="H54" s="8"/>
      <c r="I54" s="8"/>
      <c r="J54" s="6"/>
      <c r="K54" s="8"/>
      <c r="L54" s="8"/>
      <c r="M54" s="8"/>
      <c r="N54" s="8"/>
      <c r="O54" s="8"/>
      <c r="P54" s="8"/>
      <c r="Q54" s="8"/>
      <c r="R54" s="8"/>
    </row>
    <row r="55" spans="1:18" ht="18.75" customHeight="1">
      <c r="A55" s="7"/>
      <c r="B55" s="5" t="s">
        <v>240</v>
      </c>
      <c r="C55" s="8"/>
      <c r="D55" s="9"/>
      <c r="E55" s="8"/>
      <c r="F55" s="9"/>
      <c r="G55" s="8"/>
      <c r="H55" s="8"/>
      <c r="I55" s="8"/>
      <c r="J55" s="6"/>
      <c r="K55" s="8"/>
      <c r="L55" s="8"/>
      <c r="M55" s="8"/>
      <c r="N55" s="8"/>
      <c r="O55" s="8"/>
      <c r="P55" s="8"/>
      <c r="Q55" s="8"/>
      <c r="R55" s="8"/>
    </row>
    <row r="56" spans="1:18" ht="18.75" customHeight="1">
      <c r="A56" s="139" t="s">
        <v>233</v>
      </c>
      <c r="B56" s="8" t="s">
        <v>234</v>
      </c>
      <c r="C56" s="135" t="s">
        <v>199</v>
      </c>
      <c r="D56" s="144">
        <f>F56+E56</f>
        <v>3110000</v>
      </c>
      <c r="E56" s="145"/>
      <c r="F56" s="144">
        <v>3110000</v>
      </c>
      <c r="G56" s="146">
        <f>I56+J56</f>
        <v>3109965.1699999995</v>
      </c>
      <c r="H56" s="174">
        <f>G56*100/D56</f>
        <v>99.99888006430866</v>
      </c>
      <c r="I56" s="146"/>
      <c r="J56" s="146">
        <f>38192.8+26100.6+70079.85+65100+93220.1+84326+95040+235234+102333.45+4000+207244.84+48575+76707.2+367500+6260+118659.15+294000+12040+55635+268863.3+78656.7+70291.75+13800+295212.05+58186.38+90415.5+126545.4+33958.9+27763.6+27763.6+18260</f>
        <v>3109965.1699999995</v>
      </c>
      <c r="K56" s="146">
        <f>M56+N56</f>
        <v>7.275957614183426E-11</v>
      </c>
      <c r="L56" s="146">
        <f>K56*100/D56</f>
        <v>2.3395362103483685E-15</v>
      </c>
      <c r="M56" s="146"/>
      <c r="N56" s="146">
        <f>90473.4+33200+7280-26100.6+661500+77447.6-93220.1-7552.7-80-4000+59870.2-76707.2-740.4-367500+29120-294000-55635+50000-4235.2+68637.2+21840-78656.7-463.3-90415.5+33958.9-61.7-33958.9</f>
        <v>7.275957614183426E-11</v>
      </c>
      <c r="O56" s="146">
        <f>D56-G56-K56</f>
        <v>34.83000000046741</v>
      </c>
      <c r="P56" s="146">
        <f>O56*100/D56</f>
        <v>0.0011199356913333572</v>
      </c>
      <c r="Q56" s="146">
        <f>E56-I56-M56</f>
        <v>0</v>
      </c>
      <c r="R56" s="146">
        <f>F56-J56-N56</f>
        <v>34.83000000046741</v>
      </c>
    </row>
    <row r="57" spans="1:18" ht="19.5" customHeight="1">
      <c r="A57" s="7"/>
      <c r="B57" s="8" t="s">
        <v>235</v>
      </c>
      <c r="C57" s="8"/>
      <c r="D57" s="9"/>
      <c r="E57" s="8"/>
      <c r="F57" s="9"/>
      <c r="G57" s="8"/>
      <c r="H57" s="8"/>
      <c r="I57" s="8"/>
      <c r="J57" s="6"/>
      <c r="K57" s="8"/>
      <c r="L57" s="8"/>
      <c r="M57" s="8"/>
      <c r="N57" s="8"/>
      <c r="O57" s="8"/>
      <c r="P57" s="8"/>
      <c r="Q57" s="8"/>
      <c r="R57" s="8"/>
    </row>
    <row r="58" spans="1:18" ht="18.75" customHeight="1">
      <c r="A58" s="7"/>
      <c r="B58" s="8" t="s">
        <v>211</v>
      </c>
      <c r="C58" s="8"/>
      <c r="D58" s="9"/>
      <c r="E58" s="8"/>
      <c r="F58" s="9"/>
      <c r="G58" s="8"/>
      <c r="H58" s="8"/>
      <c r="I58" s="8"/>
      <c r="J58" s="6"/>
      <c r="K58" s="8"/>
      <c r="L58" s="8"/>
      <c r="M58" s="8"/>
      <c r="N58" s="8"/>
      <c r="O58" s="8"/>
      <c r="P58" s="8"/>
      <c r="Q58" s="8"/>
      <c r="R58" s="8"/>
    </row>
    <row r="59" spans="1:18" ht="18.75" customHeight="1">
      <c r="A59" s="7"/>
      <c r="B59" s="5" t="s">
        <v>241</v>
      </c>
      <c r="C59" s="8"/>
      <c r="D59" s="9"/>
      <c r="E59" s="8"/>
      <c r="F59" s="9"/>
      <c r="G59" s="8"/>
      <c r="H59" s="8"/>
      <c r="I59" s="8"/>
      <c r="J59" s="6"/>
      <c r="K59" s="8"/>
      <c r="L59" s="8"/>
      <c r="M59" s="8"/>
      <c r="N59" s="8"/>
      <c r="O59" s="8"/>
      <c r="P59" s="8"/>
      <c r="Q59" s="8"/>
      <c r="R59" s="8"/>
    </row>
    <row r="60" spans="1:18" ht="19.5" customHeight="1">
      <c r="A60" s="7">
        <v>1.15</v>
      </c>
      <c r="B60" s="8" t="s">
        <v>242</v>
      </c>
      <c r="C60" s="135" t="s">
        <v>199</v>
      </c>
      <c r="D60" s="144">
        <f>F60+E60</f>
        <v>1539634</v>
      </c>
      <c r="E60" s="145"/>
      <c r="F60" s="144">
        <f>1540000-366</f>
        <v>1539634</v>
      </c>
      <c r="G60" s="146">
        <f>I60+J60</f>
        <v>1539633.9700000002</v>
      </c>
      <c r="H60" s="174">
        <f>G60*100/D60</f>
        <v>99.99999805148498</v>
      </c>
      <c r="I60" s="146"/>
      <c r="J60" s="146">
        <f>24302+56184.18+79169+139794.3+158844.4+93560+160384.25+154391.7+77257.14+46200+191700+212897+144950</f>
        <v>1539633.9700000002</v>
      </c>
      <c r="K60" s="146">
        <f>M60+N60</f>
        <v>-5.239542133494979E-11</v>
      </c>
      <c r="L60" s="146">
        <f>K60*100/D60</f>
        <v>-3.4031088774961965E-15</v>
      </c>
      <c r="M60" s="146"/>
      <c r="N60" s="146">
        <f>296192.1+16001.6+1200-158844.4-154391.7-70.2-87.4</f>
        <v>-5.239542133494979E-11</v>
      </c>
      <c r="O60" s="146">
        <f>D60-G60-K60</f>
        <v>0.029999999847504455</v>
      </c>
      <c r="P60" s="146">
        <f>O60*100/D60</f>
        <v>1.948515026785876E-06</v>
      </c>
      <c r="Q60" s="146">
        <f>E60-I60-M60</f>
        <v>0</v>
      </c>
      <c r="R60" s="146">
        <f>F60-J60-N60</f>
        <v>0.029999999847504455</v>
      </c>
    </row>
    <row r="61" spans="1:18" ht="20.25" customHeight="1">
      <c r="A61" s="7"/>
      <c r="B61" s="8" t="s">
        <v>243</v>
      </c>
      <c r="C61" s="8"/>
      <c r="D61" s="9"/>
      <c r="E61" s="8"/>
      <c r="F61" s="9"/>
      <c r="G61" s="8"/>
      <c r="H61" s="8"/>
      <c r="I61" s="8"/>
      <c r="J61" s="6"/>
      <c r="K61" s="8"/>
      <c r="L61" s="8"/>
      <c r="M61" s="8"/>
      <c r="N61" s="8"/>
      <c r="O61" s="8"/>
      <c r="P61" s="8"/>
      <c r="Q61" s="8"/>
      <c r="R61" s="8"/>
    </row>
    <row r="62" spans="1:18" ht="19.5" customHeight="1">
      <c r="A62" s="7"/>
      <c r="B62" s="8" t="s">
        <v>244</v>
      </c>
      <c r="C62" s="8"/>
      <c r="D62" s="9"/>
      <c r="E62" s="8"/>
      <c r="F62" s="9"/>
      <c r="G62" s="8"/>
      <c r="H62" s="8"/>
      <c r="I62" s="8"/>
      <c r="J62" s="6"/>
      <c r="K62" s="8"/>
      <c r="L62" s="8"/>
      <c r="M62" s="8"/>
      <c r="N62" s="8"/>
      <c r="O62" s="8"/>
      <c r="P62" s="8"/>
      <c r="Q62" s="8"/>
      <c r="R62" s="8"/>
    </row>
    <row r="63" spans="1:18" ht="20.25" customHeight="1">
      <c r="A63" s="7"/>
      <c r="B63" s="5" t="s">
        <v>245</v>
      </c>
      <c r="C63" s="8"/>
      <c r="D63" s="9"/>
      <c r="E63" s="8"/>
      <c r="F63" s="9"/>
      <c r="G63" s="8"/>
      <c r="H63" s="8"/>
      <c r="I63" s="8"/>
      <c r="J63" s="6"/>
      <c r="K63" s="8"/>
      <c r="L63" s="8"/>
      <c r="M63" s="8"/>
      <c r="N63" s="8"/>
      <c r="O63" s="8"/>
      <c r="P63" s="8"/>
      <c r="Q63" s="8"/>
      <c r="R63" s="8"/>
    </row>
    <row r="64" spans="1:18" ht="18.75" customHeight="1">
      <c r="A64" s="7">
        <v>1.16</v>
      </c>
      <c r="B64" s="8" t="s">
        <v>246</v>
      </c>
      <c r="C64" s="135" t="s">
        <v>199</v>
      </c>
      <c r="D64" s="144">
        <f>F64+E64</f>
        <v>110000</v>
      </c>
      <c r="E64" s="145"/>
      <c r="F64" s="144">
        <v>110000</v>
      </c>
      <c r="G64" s="146">
        <f>I64+J64</f>
        <v>109996.27</v>
      </c>
      <c r="H64" s="174">
        <f>G64*100/D64</f>
        <v>99.99660909090909</v>
      </c>
      <c r="I64" s="146"/>
      <c r="J64" s="146">
        <f>6113.47+19230+3385+39115.8+42152</f>
        <v>109996.27</v>
      </c>
      <c r="K64" s="146">
        <f>M64+N64</f>
        <v>0</v>
      </c>
      <c r="L64" s="146">
        <f>K64*100/D64</f>
        <v>0</v>
      </c>
      <c r="M64" s="146"/>
      <c r="N64" s="146"/>
      <c r="O64" s="146">
        <f>D64-G64-K64</f>
        <v>3.7299999999959255</v>
      </c>
      <c r="P64" s="146">
        <f>O64*100/D64</f>
        <v>0.0033909090909053866</v>
      </c>
      <c r="Q64" s="146">
        <f>E64-I64-M64</f>
        <v>0</v>
      </c>
      <c r="R64" s="146">
        <f>F64-J64-N64</f>
        <v>3.7299999999959255</v>
      </c>
    </row>
    <row r="65" spans="1:18" ht="18" customHeight="1">
      <c r="A65" s="7"/>
      <c r="B65" s="8" t="s">
        <v>247</v>
      </c>
      <c r="C65" s="8"/>
      <c r="D65" s="9"/>
      <c r="E65" s="8"/>
      <c r="F65" s="9"/>
      <c r="G65" s="8"/>
      <c r="H65" s="8"/>
      <c r="I65" s="8"/>
      <c r="J65" s="6"/>
      <c r="K65" s="8"/>
      <c r="L65" s="8"/>
      <c r="M65" s="8"/>
      <c r="N65" s="8"/>
      <c r="O65" s="8"/>
      <c r="P65" s="8"/>
      <c r="Q65" s="8"/>
      <c r="R65" s="8"/>
    </row>
    <row r="66" spans="1:18" ht="18" customHeight="1">
      <c r="A66" s="20"/>
      <c r="B66" s="19" t="s">
        <v>244</v>
      </c>
      <c r="C66" s="19"/>
      <c r="D66" s="149"/>
      <c r="E66" s="19"/>
      <c r="F66" s="149"/>
      <c r="G66" s="19"/>
      <c r="H66" s="19"/>
      <c r="I66" s="19"/>
      <c r="J66" s="150"/>
      <c r="K66" s="19"/>
      <c r="L66" s="19"/>
      <c r="M66" s="19"/>
      <c r="N66" s="19"/>
      <c r="O66" s="19"/>
      <c r="P66" s="19"/>
      <c r="Q66" s="19"/>
      <c r="R66" s="19"/>
    </row>
    <row r="67" spans="1:19" ht="16.5" customHeight="1">
      <c r="A67" s="46"/>
      <c r="B67" s="44" t="s">
        <v>248</v>
      </c>
      <c r="C67" s="52"/>
      <c r="D67" s="53"/>
      <c r="E67" s="52"/>
      <c r="F67" s="53"/>
      <c r="G67" s="52"/>
      <c r="H67" s="52"/>
      <c r="I67" s="52"/>
      <c r="J67" s="54"/>
      <c r="K67" s="52"/>
      <c r="L67" s="52"/>
      <c r="M67" s="52"/>
      <c r="N67" s="52"/>
      <c r="O67" s="52"/>
      <c r="P67" s="52"/>
      <c r="Q67" s="52"/>
      <c r="R67" s="52"/>
      <c r="S67" s="1">
        <v>3</v>
      </c>
    </row>
    <row r="68" spans="1:18" ht="18.75" customHeight="1">
      <c r="A68" s="7">
        <v>1.17</v>
      </c>
      <c r="B68" s="8" t="s">
        <v>249</v>
      </c>
      <c r="C68" s="135" t="s">
        <v>199</v>
      </c>
      <c r="D68" s="144">
        <f>F68+E68</f>
        <v>659375</v>
      </c>
      <c r="E68" s="145"/>
      <c r="F68" s="144">
        <f>660000-625</f>
        <v>659375</v>
      </c>
      <c r="G68" s="146">
        <f>I68+J68</f>
        <v>659374.7</v>
      </c>
      <c r="H68" s="174">
        <f>G68*100/D68</f>
        <v>99.99995450236966</v>
      </c>
      <c r="I68" s="146"/>
      <c r="J68" s="146">
        <f>25105.41+10440+52744+67606.2+62470.6+57510+74052.6+14274+3380+59850.3+3359.59+16800+93080+70742+47960</f>
        <v>659374.7</v>
      </c>
      <c r="K68" s="146">
        <f>M68+N68</f>
        <v>4.376943252282217E-12</v>
      </c>
      <c r="L68" s="146">
        <f>K68*100/D68</f>
        <v>6.638018202513315E-16</v>
      </c>
      <c r="M68" s="146"/>
      <c r="N68" s="146">
        <f>108707.1+14000-62470.6-59850.3-386.2</f>
        <v>4.376943252282217E-12</v>
      </c>
      <c r="O68" s="146">
        <f>D68-G68-K68</f>
        <v>0.3000000000421892</v>
      </c>
      <c r="P68" s="146">
        <f>O68*100/D68</f>
        <v>4.5497630338151915E-05</v>
      </c>
      <c r="Q68" s="146">
        <f>E68-I68-M68</f>
        <v>0</v>
      </c>
      <c r="R68" s="146">
        <f>F68-J68-N68</f>
        <v>0.3000000000421892</v>
      </c>
    </row>
    <row r="69" spans="1:18" ht="18.75" customHeight="1">
      <c r="A69" s="7"/>
      <c r="B69" s="8" t="s">
        <v>250</v>
      </c>
      <c r="C69" s="8"/>
      <c r="D69" s="9"/>
      <c r="E69" s="8"/>
      <c r="F69" s="9"/>
      <c r="G69" s="8"/>
      <c r="H69" s="8"/>
      <c r="I69" s="8"/>
      <c r="J69" s="6"/>
      <c r="K69" s="8"/>
      <c r="L69" s="8"/>
      <c r="M69" s="8"/>
      <c r="N69" s="8"/>
      <c r="O69" s="8"/>
      <c r="P69" s="8"/>
      <c r="Q69" s="8"/>
      <c r="R69" s="8"/>
    </row>
    <row r="70" spans="1:18" ht="18.75" customHeight="1">
      <c r="A70" s="7"/>
      <c r="B70" s="8" t="s">
        <v>244</v>
      </c>
      <c r="C70" s="8"/>
      <c r="D70" s="9"/>
      <c r="E70" s="8"/>
      <c r="F70" s="9"/>
      <c r="G70" s="8"/>
      <c r="H70" s="8"/>
      <c r="I70" s="8"/>
      <c r="J70" s="6"/>
      <c r="K70" s="8"/>
      <c r="L70" s="8"/>
      <c r="M70" s="8"/>
      <c r="N70" s="8"/>
      <c r="O70" s="8"/>
      <c r="P70" s="8"/>
      <c r="Q70" s="8"/>
      <c r="R70" s="8"/>
    </row>
    <row r="71" spans="1:18" ht="18.75" customHeight="1">
      <c r="A71" s="7"/>
      <c r="B71" s="5" t="s">
        <v>251</v>
      </c>
      <c r="C71" s="8"/>
      <c r="D71" s="9"/>
      <c r="E71" s="8"/>
      <c r="F71" s="9"/>
      <c r="G71" s="8"/>
      <c r="H71" s="8"/>
      <c r="I71" s="8"/>
      <c r="J71" s="6"/>
      <c r="K71" s="8"/>
      <c r="L71" s="8"/>
      <c r="M71" s="8"/>
      <c r="N71" s="8"/>
      <c r="O71" s="8"/>
      <c r="P71" s="8"/>
      <c r="Q71" s="8"/>
      <c r="R71" s="8"/>
    </row>
    <row r="72" spans="1:18" ht="18.75" customHeight="1">
      <c r="A72" s="7">
        <v>1.18</v>
      </c>
      <c r="B72" s="8" t="s">
        <v>252</v>
      </c>
      <c r="C72" s="135" t="s">
        <v>199</v>
      </c>
      <c r="D72" s="144">
        <f>F72+E72</f>
        <v>1456928</v>
      </c>
      <c r="E72" s="145"/>
      <c r="F72" s="144">
        <f>1457000-72</f>
        <v>1456928</v>
      </c>
      <c r="G72" s="146">
        <f>I72+J72</f>
        <v>1456927.92</v>
      </c>
      <c r="H72" s="174">
        <f>G72*100/D72</f>
        <v>99.99999450899426</v>
      </c>
      <c r="I72" s="146"/>
      <c r="J72" s="146">
        <f>97560+22040+51647.82+73059+158986.8+136929.6+36120+168461.3+118013.4+175110+202760+172530+43710</f>
        <v>1456927.92</v>
      </c>
      <c r="K72" s="146">
        <f>M72+N72</f>
        <v>0</v>
      </c>
      <c r="L72" s="146">
        <f>K72*100/D72</f>
        <v>0</v>
      </c>
      <c r="M72" s="146"/>
      <c r="N72" s="146">
        <f>2400+12000+240543-136929.6-118013.4</f>
        <v>0</v>
      </c>
      <c r="O72" s="146">
        <f>D72-G72-K72</f>
        <v>0.0800000000745058</v>
      </c>
      <c r="P72" s="146">
        <f>O72*100/D72</f>
        <v>5.491005737723882E-06</v>
      </c>
      <c r="Q72" s="146">
        <f>E72-I72-M72</f>
        <v>0</v>
      </c>
      <c r="R72" s="146">
        <f>F72-J72-N72</f>
        <v>0.0800000000745058</v>
      </c>
    </row>
    <row r="73" spans="1:18" ht="18.75" customHeight="1">
      <c r="A73" s="7"/>
      <c r="B73" s="8" t="s">
        <v>253</v>
      </c>
      <c r="C73" s="8"/>
      <c r="D73" s="9"/>
      <c r="E73" s="8"/>
      <c r="F73" s="9"/>
      <c r="G73" s="8"/>
      <c r="H73" s="8"/>
      <c r="I73" s="8"/>
      <c r="J73" s="6"/>
      <c r="K73" s="8"/>
      <c r="L73" s="8"/>
      <c r="M73" s="8"/>
      <c r="N73" s="8"/>
      <c r="O73" s="8"/>
      <c r="P73" s="8"/>
      <c r="Q73" s="8"/>
      <c r="R73" s="8"/>
    </row>
    <row r="74" spans="1:18" ht="18.75" customHeight="1">
      <c r="A74" s="7"/>
      <c r="B74" s="8" t="s">
        <v>244</v>
      </c>
      <c r="C74" s="8"/>
      <c r="D74" s="9"/>
      <c r="E74" s="8"/>
      <c r="F74" s="9"/>
      <c r="G74" s="8"/>
      <c r="H74" s="8"/>
      <c r="I74" s="8"/>
      <c r="J74" s="6"/>
      <c r="K74" s="8"/>
      <c r="L74" s="8"/>
      <c r="M74" s="8"/>
      <c r="N74" s="8"/>
      <c r="O74" s="8"/>
      <c r="P74" s="8"/>
      <c r="Q74" s="8"/>
      <c r="R74" s="8"/>
    </row>
    <row r="75" spans="1:18" ht="18.75" customHeight="1">
      <c r="A75" s="7"/>
      <c r="B75" s="5" t="s">
        <v>254</v>
      </c>
      <c r="C75" s="8"/>
      <c r="D75" s="9"/>
      <c r="E75" s="8"/>
      <c r="F75" s="9"/>
      <c r="G75" s="8"/>
      <c r="H75" s="8"/>
      <c r="I75" s="8"/>
      <c r="J75" s="6"/>
      <c r="K75" s="8"/>
      <c r="L75" s="8"/>
      <c r="M75" s="8"/>
      <c r="N75" s="8"/>
      <c r="O75" s="8"/>
      <c r="P75" s="8"/>
      <c r="Q75" s="8"/>
      <c r="R75" s="8"/>
    </row>
    <row r="76" spans="1:18" ht="16.5" customHeight="1">
      <c r="A76" s="7">
        <v>1.19</v>
      </c>
      <c r="B76" s="8" t="s">
        <v>255</v>
      </c>
      <c r="C76" s="135" t="s">
        <v>199</v>
      </c>
      <c r="D76" s="144">
        <f>F76+E76</f>
        <v>119941</v>
      </c>
      <c r="E76" s="145"/>
      <c r="F76" s="144">
        <f>120000-59</f>
        <v>119941</v>
      </c>
      <c r="G76" s="146">
        <f>I76+J76</f>
        <v>119940.98</v>
      </c>
      <c r="H76" s="174">
        <f>G76*100/D76</f>
        <v>99.99998332513486</v>
      </c>
      <c r="I76" s="146"/>
      <c r="J76" s="146">
        <f>6879.9+94061.88+6624.45+4731.75+7643</f>
        <v>119940.98</v>
      </c>
      <c r="K76" s="146">
        <f>M76+N76</f>
        <v>0</v>
      </c>
      <c r="L76" s="146">
        <f>K76*100/D76</f>
        <v>0</v>
      </c>
      <c r="M76" s="146"/>
      <c r="N76" s="146"/>
      <c r="O76" s="146">
        <f>D76-G76-K76</f>
        <v>0.020000000004074536</v>
      </c>
      <c r="P76" s="146">
        <f>O76*100/D76</f>
        <v>1.667486514542528E-05</v>
      </c>
      <c r="Q76" s="146">
        <f>E76-I76-M76</f>
        <v>0</v>
      </c>
      <c r="R76" s="146">
        <f>F76-J76-N76</f>
        <v>0.020000000004074536</v>
      </c>
    </row>
    <row r="77" spans="1:18" ht="18" customHeight="1">
      <c r="A77" s="7"/>
      <c r="B77" s="8" t="s">
        <v>256</v>
      </c>
      <c r="C77" s="8"/>
      <c r="D77" s="9"/>
      <c r="E77" s="8"/>
      <c r="F77" s="9"/>
      <c r="G77" s="8"/>
      <c r="H77" s="45"/>
      <c r="I77" s="8"/>
      <c r="J77" s="6"/>
      <c r="K77" s="8"/>
      <c r="L77" s="8"/>
      <c r="M77" s="8"/>
      <c r="N77" s="8"/>
      <c r="O77" s="8"/>
      <c r="P77" s="8"/>
      <c r="Q77" s="8"/>
      <c r="R77" s="8"/>
    </row>
    <row r="78" spans="1:18" ht="17.25" customHeight="1">
      <c r="A78" s="7"/>
      <c r="B78" s="8" t="s">
        <v>257</v>
      </c>
      <c r="C78" s="8"/>
      <c r="D78" s="9"/>
      <c r="E78" s="8"/>
      <c r="F78" s="9"/>
      <c r="G78" s="8"/>
      <c r="H78" s="45"/>
      <c r="I78" s="8"/>
      <c r="J78" s="6"/>
      <c r="K78" s="8"/>
      <c r="L78" s="8"/>
      <c r="M78" s="8"/>
      <c r="N78" s="8"/>
      <c r="O78" s="8"/>
      <c r="P78" s="8"/>
      <c r="Q78" s="8"/>
      <c r="R78" s="8"/>
    </row>
    <row r="79" spans="1:18" ht="18.75" customHeight="1">
      <c r="A79" s="7"/>
      <c r="B79" s="5" t="s">
        <v>258</v>
      </c>
      <c r="C79" s="8"/>
      <c r="D79" s="9"/>
      <c r="E79" s="8"/>
      <c r="F79" s="9"/>
      <c r="G79" s="8"/>
      <c r="H79" s="45"/>
      <c r="I79" s="8"/>
      <c r="J79" s="6"/>
      <c r="K79" s="8"/>
      <c r="L79" s="8"/>
      <c r="M79" s="8"/>
      <c r="N79" s="8"/>
      <c r="O79" s="8"/>
      <c r="P79" s="8"/>
      <c r="Q79" s="8"/>
      <c r="R79" s="8"/>
    </row>
    <row r="80" spans="1:18" ht="18.75" customHeight="1">
      <c r="A80" s="139" t="s">
        <v>259</v>
      </c>
      <c r="B80" s="8" t="s">
        <v>260</v>
      </c>
      <c r="C80" s="135" t="s">
        <v>199</v>
      </c>
      <c r="D80" s="144">
        <f>F80+E80</f>
        <v>269978</v>
      </c>
      <c r="E80" s="145"/>
      <c r="F80" s="144">
        <f>270000-22</f>
        <v>269978</v>
      </c>
      <c r="G80" s="146">
        <f>I80+J80</f>
        <v>269977.39</v>
      </c>
      <c r="H80" s="174">
        <f>G80*100/D80</f>
        <v>99.99977405566379</v>
      </c>
      <c r="I80" s="146"/>
      <c r="J80" s="146">
        <f>10319.85+5978+114787.59+63258+5068+16087.95+6939.9+480+43538.1+2320+1200</f>
        <v>269977.39</v>
      </c>
      <c r="K80" s="146">
        <f>M80+N80</f>
        <v>0</v>
      </c>
      <c r="L80" s="146">
        <f>K80*100/D80</f>
        <v>0</v>
      </c>
      <c r="M80" s="146"/>
      <c r="N80" s="146">
        <f>1200-1200</f>
        <v>0</v>
      </c>
      <c r="O80" s="146">
        <f>D80-G80-K80</f>
        <v>0.6099999999860302</v>
      </c>
      <c r="P80" s="146">
        <f>O80*100/D80</f>
        <v>0.00022594433619999783</v>
      </c>
      <c r="Q80" s="146">
        <f>E80-I80-M80</f>
        <v>0</v>
      </c>
      <c r="R80" s="146">
        <f>F80-J80-N80</f>
        <v>0.6099999999860302</v>
      </c>
    </row>
    <row r="81" spans="1:18" ht="18.75" customHeight="1">
      <c r="A81" s="7"/>
      <c r="B81" s="8" t="s">
        <v>261</v>
      </c>
      <c r="C81" s="8"/>
      <c r="D81" s="9"/>
      <c r="E81" s="8"/>
      <c r="F81" s="9"/>
      <c r="G81" s="8"/>
      <c r="H81" s="8"/>
      <c r="I81" s="8"/>
      <c r="J81" s="6"/>
      <c r="K81" s="8"/>
      <c r="L81" s="8"/>
      <c r="M81" s="8"/>
      <c r="N81" s="8"/>
      <c r="O81" s="8"/>
      <c r="P81" s="8"/>
      <c r="Q81" s="8"/>
      <c r="R81" s="8"/>
    </row>
    <row r="82" spans="1:18" ht="15.75" customHeight="1">
      <c r="A82" s="7"/>
      <c r="B82" s="8" t="s">
        <v>262</v>
      </c>
      <c r="C82" s="8"/>
      <c r="D82" s="9"/>
      <c r="E82" s="8"/>
      <c r="F82" s="9"/>
      <c r="G82" s="8"/>
      <c r="H82" s="8"/>
      <c r="I82" s="8"/>
      <c r="J82" s="6"/>
      <c r="K82" s="8"/>
      <c r="L82" s="8"/>
      <c r="M82" s="8"/>
      <c r="N82" s="8"/>
      <c r="O82" s="8"/>
      <c r="P82" s="8"/>
      <c r="Q82" s="8"/>
      <c r="R82" s="8"/>
    </row>
    <row r="83" spans="1:18" ht="18.75" customHeight="1">
      <c r="A83" s="7"/>
      <c r="B83" s="5" t="s">
        <v>305</v>
      </c>
      <c r="C83" s="8"/>
      <c r="D83" s="9"/>
      <c r="E83" s="8"/>
      <c r="F83" s="9"/>
      <c r="G83" s="8"/>
      <c r="H83" s="8"/>
      <c r="I83" s="8"/>
      <c r="J83" s="6"/>
      <c r="K83" s="8"/>
      <c r="L83" s="8"/>
      <c r="M83" s="8"/>
      <c r="N83" s="8"/>
      <c r="O83" s="8"/>
      <c r="P83" s="8"/>
      <c r="Q83" s="8"/>
      <c r="R83" s="8"/>
    </row>
    <row r="84" spans="1:18" ht="18" customHeight="1">
      <c r="A84" s="7">
        <v>1.21</v>
      </c>
      <c r="B84" s="8" t="s">
        <v>307</v>
      </c>
      <c r="C84" s="135" t="s">
        <v>199</v>
      </c>
      <c r="D84" s="144">
        <f>F84+E84</f>
        <v>13641708</v>
      </c>
      <c r="E84" s="145">
        <v>1461708</v>
      </c>
      <c r="F84" s="144">
        <v>12180000</v>
      </c>
      <c r="G84" s="146">
        <f>I84+J84</f>
        <v>13641350.799999999</v>
      </c>
      <c r="H84" s="174">
        <f>G84*100/D84</f>
        <v>99.99738155955251</v>
      </c>
      <c r="I84" s="146">
        <v>1461707.6</v>
      </c>
      <c r="J84" s="146">
        <f>158652+25480+31100+347976+438165+162320+499059+668746.8+45825.2+12000+250000+524147+98900+71496.81+423750+205000+507478.55+3194+192557.5+11300+449870+31000+8500+1547.22+676200+165140+30937+89160+5100+567580.55+20615+28800+339000+205000+47954.4+299870+190857.5+10100+3290+7815+89960+17000+8165+452355.3+339000+57096.45+41122.5+5500+9748+34070.8+2320+97960+498482+62468.1+263065.2+45977.9+9615.02+31440+99210+514256.5+92044.9+29520+23850+37982+493363.8+71600+127308+17700+189520+9000+68150+15450+25000+37375.1+85813.4+36281.75+112420+33300+4619+117047.95+18000</f>
        <v>12179643.2</v>
      </c>
      <c r="K84" s="146">
        <f>M84+N84</f>
        <v>-5.820766091346741E-11</v>
      </c>
      <c r="L84" s="146">
        <f>K84*100/D84</f>
        <v>-4.266889520979881E-16</v>
      </c>
      <c r="M84" s="146"/>
      <c r="N84" s="146">
        <f>31120+25480+841340+410000+1101750-25480-31100+6675.6+192500+48000+36000+18000-20+280315-45825.2-12000-423750-205000-192557.5-11300-676200-165140-4450.4-339000-205000+45067.5+18000-190857.5-10100-3290+32018+3290+159982.7-339000+4200+18000+29120+22840-41122.5+28000-34070.8-2600-13907.2-2040+22840-263065.2-45977.9+27000+93508+18000-92044.9+3600+32400-22.1-17.6+10920+23740+42140+20700+15000+13440-127308-9000-112420-33300-20-18000</f>
        <v>-5.820766091346741E-11</v>
      </c>
      <c r="O84" s="146">
        <f>D84-G84-K84</f>
        <v>357.2000000011758</v>
      </c>
      <c r="P84" s="146">
        <f>O84*100/D84</f>
        <v>0.002618440447495107</v>
      </c>
      <c r="Q84" s="174">
        <f>E84-I84-M84</f>
        <v>0.39999999990686774</v>
      </c>
      <c r="R84" s="146">
        <f>F84-J84-N84</f>
        <v>356.80000000080327</v>
      </c>
    </row>
    <row r="85" spans="1:18" ht="19.5" customHeight="1">
      <c r="A85" s="7"/>
      <c r="B85" s="8" t="s">
        <v>105</v>
      </c>
      <c r="C85" s="8" t="s">
        <v>325</v>
      </c>
      <c r="D85" s="9"/>
      <c r="E85" s="8"/>
      <c r="F85" s="9"/>
      <c r="G85" s="8"/>
      <c r="H85" s="8"/>
      <c r="I85" s="8"/>
      <c r="J85" s="6"/>
      <c r="K85" s="8"/>
      <c r="L85" s="8"/>
      <c r="M85" s="8"/>
      <c r="N85" s="8"/>
      <c r="O85" s="8"/>
      <c r="P85" s="8"/>
      <c r="Q85" s="8"/>
      <c r="R85" s="8"/>
    </row>
    <row r="86" spans="1:18" ht="18.75" customHeight="1">
      <c r="A86" s="7"/>
      <c r="B86" s="5" t="s">
        <v>278</v>
      </c>
      <c r="C86" s="8"/>
      <c r="D86" s="9"/>
      <c r="E86" s="8"/>
      <c r="F86" s="9"/>
      <c r="G86" s="8"/>
      <c r="H86" s="8"/>
      <c r="I86" s="8"/>
      <c r="J86" s="6"/>
      <c r="K86" s="8"/>
      <c r="L86" s="8"/>
      <c r="M86" s="8"/>
      <c r="N86" s="8"/>
      <c r="O86" s="8"/>
      <c r="P86" s="8"/>
      <c r="Q86" s="8"/>
      <c r="R86" s="8"/>
    </row>
    <row r="87" spans="1:18" ht="18.75" customHeight="1">
      <c r="A87" s="7">
        <v>1.22</v>
      </c>
      <c r="B87" s="8" t="s">
        <v>279</v>
      </c>
      <c r="C87" s="135" t="s">
        <v>281</v>
      </c>
      <c r="D87" s="144">
        <f>F87+E87</f>
        <v>5400000</v>
      </c>
      <c r="E87" s="145"/>
      <c r="F87" s="144">
        <f>5400000</f>
        <v>5400000</v>
      </c>
      <c r="G87" s="146">
        <f>I87+J87</f>
        <v>5399966.240000001</v>
      </c>
      <c r="H87" s="174">
        <f>G87*100/D87</f>
        <v>99.99937481481484</v>
      </c>
      <c r="I87" s="146"/>
      <c r="J87" s="146">
        <f>37208.55+70710.75+87379.65+1325.2+11532+215273.55+45538.47+91385+99297+6500.8+50000+348306.75+17661.6+100944+24610+78100+19998+329329.8+99366.75+33172.2+7666.9+22692+573289.6+48720+84400+11063.5-947.35+7326+16463+9900+106041.15+7045+284585.85+99586+99640+19721.6+2702.25+6294.7+360108.2+35099.75+33485.2+2952.7+12000+11580+99373+250031+18083+33365.7+263766.15+31910.4+17168.1+1000+98000+10709+402793.5+64564.8+1400+5362+10283.77+7675+303581.7+107000+7977+5166+4072+27628</f>
        <v>5399966.240000001</v>
      </c>
      <c r="K87" s="146">
        <f>M87+N87</f>
        <v>0</v>
      </c>
      <c r="L87" s="146">
        <f>K87*100/D87</f>
        <v>0</v>
      </c>
      <c r="M87" s="146"/>
      <c r="N87" s="146">
        <f>6626+1200-1325.2+4200+7288.6-6500.8+10210.8+3360-17661.6+18552.8+3360-7666.9+12011.7-1987.8-11063.5+10513.5+18710.8+12341.4+20540.6-19721.6+3000-6294.7-2650.4+3360+20421.6+9198.6-33485.2-2952.7+3000-33365.7+9013.5-595.5+3600-47.3-46.4-9013.5+64564.8-17168.1-1000-3313+10920+21840+12000+40040+21000-64564.8-1400-2050-107000</f>
        <v>0</v>
      </c>
      <c r="O87" s="146">
        <f>D87-G87-K87</f>
        <v>33.75999999884516</v>
      </c>
      <c r="P87" s="146">
        <f>O87*100/D87</f>
        <v>0.0006251851851637992</v>
      </c>
      <c r="Q87" s="146">
        <f>E87-I87-M87</f>
        <v>0</v>
      </c>
      <c r="R87" s="146">
        <f>F87-J87-N87</f>
        <v>33.75999999884516</v>
      </c>
    </row>
    <row r="88" spans="1:18" ht="18.75" customHeight="1">
      <c r="A88" s="7"/>
      <c r="B88" s="8" t="s">
        <v>280</v>
      </c>
      <c r="C88" s="8"/>
      <c r="D88" s="9"/>
      <c r="E88" s="8"/>
      <c r="F88" s="9"/>
      <c r="G88" s="8"/>
      <c r="H88" s="8"/>
      <c r="I88" s="8"/>
      <c r="J88" s="6"/>
      <c r="K88" s="8"/>
      <c r="L88" s="8"/>
      <c r="M88" s="8"/>
      <c r="N88" s="8"/>
      <c r="O88" s="8"/>
      <c r="P88" s="8"/>
      <c r="Q88" s="8"/>
      <c r="R88" s="8"/>
    </row>
    <row r="89" spans="1:18" ht="18.75" customHeight="1">
      <c r="A89" s="7"/>
      <c r="B89" s="8" t="s">
        <v>262</v>
      </c>
      <c r="C89" s="8"/>
      <c r="D89" s="9"/>
      <c r="E89" s="8"/>
      <c r="F89" s="9"/>
      <c r="G89" s="8"/>
      <c r="H89" s="8"/>
      <c r="I89" s="8"/>
      <c r="J89" s="6"/>
      <c r="K89" s="8"/>
      <c r="L89" s="8"/>
      <c r="M89" s="8"/>
      <c r="N89" s="8"/>
      <c r="O89" s="8"/>
      <c r="P89" s="8"/>
      <c r="Q89" s="8"/>
      <c r="R89" s="8"/>
    </row>
    <row r="90" spans="1:18" ht="18.75" customHeight="1">
      <c r="A90" s="7"/>
      <c r="B90" s="5" t="s">
        <v>285</v>
      </c>
      <c r="C90" s="8"/>
      <c r="D90" s="9"/>
      <c r="E90" s="8"/>
      <c r="F90" s="9"/>
      <c r="G90" s="8"/>
      <c r="H90" s="8"/>
      <c r="I90" s="8"/>
      <c r="J90" s="6"/>
      <c r="K90" s="8"/>
      <c r="L90" s="8"/>
      <c r="M90" s="8"/>
      <c r="N90" s="8"/>
      <c r="O90" s="8"/>
      <c r="P90" s="8"/>
      <c r="Q90" s="8"/>
      <c r="R90" s="8"/>
    </row>
    <row r="91" spans="1:18" ht="19.5" customHeight="1">
      <c r="A91" s="7">
        <v>1.23</v>
      </c>
      <c r="B91" s="8" t="s">
        <v>286</v>
      </c>
      <c r="C91" s="135" t="s">
        <v>281</v>
      </c>
      <c r="D91" s="144">
        <f>F91+E91</f>
        <v>330983</v>
      </c>
      <c r="E91" s="145"/>
      <c r="F91" s="144">
        <f>331000-17</f>
        <v>330983</v>
      </c>
      <c r="G91" s="146">
        <f>I91+J91</f>
        <v>330982.19</v>
      </c>
      <c r="H91" s="174">
        <f>G91*100/D91</f>
        <v>99.99975527444008</v>
      </c>
      <c r="I91" s="146"/>
      <c r="J91" s="146">
        <f>93560+11960+12000+16339+12040+79560+93860+11663.19</f>
        <v>330982.19</v>
      </c>
      <c r="K91" s="146">
        <f>M91+N91</f>
        <v>0</v>
      </c>
      <c r="L91" s="146">
        <f>K91*100/D91</f>
        <v>0</v>
      </c>
      <c r="M91" s="146"/>
      <c r="N91" s="146">
        <f>24000-11960-12040+8040+12000+24980+15960+15000+17880-93860</f>
        <v>0</v>
      </c>
      <c r="O91" s="146">
        <f>D91-G91-K91</f>
        <v>0.8099999999976717</v>
      </c>
      <c r="P91" s="146">
        <f>O91*100/D91</f>
        <v>0.00024472555992231375</v>
      </c>
      <c r="Q91" s="146">
        <f>E91-I91-M91</f>
        <v>0</v>
      </c>
      <c r="R91" s="146">
        <f>F91-J91-N91</f>
        <v>0.8099999999976717</v>
      </c>
    </row>
    <row r="92" spans="1:18" ht="20.25" customHeight="1">
      <c r="A92" s="7"/>
      <c r="B92" s="8" t="s">
        <v>280</v>
      </c>
      <c r="C92" s="8"/>
      <c r="D92" s="9"/>
      <c r="E92" s="8"/>
      <c r="F92" s="9"/>
      <c r="G92" s="8"/>
      <c r="H92" s="8"/>
      <c r="I92" s="8"/>
      <c r="J92" s="6"/>
      <c r="K92" s="8"/>
      <c r="L92" s="8"/>
      <c r="M92" s="8"/>
      <c r="N92" s="8"/>
      <c r="O92" s="8"/>
      <c r="P92" s="8"/>
      <c r="Q92" s="8"/>
      <c r="R92" s="8"/>
    </row>
    <row r="93" spans="1:18" ht="16.5" customHeight="1">
      <c r="A93" s="7"/>
      <c r="B93" s="8" t="s">
        <v>262</v>
      </c>
      <c r="C93" s="8"/>
      <c r="D93" s="9"/>
      <c r="E93" s="8"/>
      <c r="F93" s="9"/>
      <c r="G93" s="8"/>
      <c r="H93" s="8"/>
      <c r="I93" s="8"/>
      <c r="J93" s="6"/>
      <c r="K93" s="8"/>
      <c r="L93" s="8"/>
      <c r="M93" s="8"/>
      <c r="N93" s="8"/>
      <c r="O93" s="8"/>
      <c r="P93" s="8"/>
      <c r="Q93" s="8"/>
      <c r="R93" s="8"/>
    </row>
    <row r="94" spans="1:18" ht="16.5" customHeight="1">
      <c r="A94" s="7"/>
      <c r="B94" s="5" t="s">
        <v>282</v>
      </c>
      <c r="C94" s="8"/>
      <c r="D94" s="9"/>
      <c r="E94" s="8"/>
      <c r="F94" s="9"/>
      <c r="G94" s="8"/>
      <c r="H94" s="8"/>
      <c r="I94" s="8"/>
      <c r="J94" s="6"/>
      <c r="K94" s="8"/>
      <c r="L94" s="8"/>
      <c r="M94" s="8"/>
      <c r="N94" s="8"/>
      <c r="O94" s="8"/>
      <c r="P94" s="8"/>
      <c r="Q94" s="8"/>
      <c r="R94" s="8"/>
    </row>
    <row r="95" spans="1:18" ht="18.75" customHeight="1">
      <c r="A95" s="7">
        <v>1.24</v>
      </c>
      <c r="B95" s="8" t="s">
        <v>283</v>
      </c>
      <c r="C95" s="135" t="s">
        <v>281</v>
      </c>
      <c r="D95" s="144">
        <f>F95+E95</f>
        <v>300000</v>
      </c>
      <c r="E95" s="145"/>
      <c r="F95" s="144">
        <v>300000</v>
      </c>
      <c r="G95" s="146">
        <f>I95+J95</f>
        <v>299943.89999999997</v>
      </c>
      <c r="H95" s="146">
        <f>G95*100/D95</f>
        <v>99.98129999999999</v>
      </c>
      <c r="I95" s="146"/>
      <c r="J95" s="146">
        <f>280070.55+19873.35</f>
        <v>299943.89999999997</v>
      </c>
      <c r="K95" s="146">
        <f>M95+N95</f>
        <v>0</v>
      </c>
      <c r="L95" s="146">
        <f>K95*100/D95</f>
        <v>0</v>
      </c>
      <c r="M95" s="146"/>
      <c r="N95" s="146"/>
      <c r="O95" s="146">
        <f>D95-G95-K95</f>
        <v>56.100000000034925</v>
      </c>
      <c r="P95" s="146">
        <f>O95*100/D95</f>
        <v>0.01870000000001164</v>
      </c>
      <c r="Q95" s="146">
        <f>E95-I95-M95</f>
        <v>0</v>
      </c>
      <c r="R95" s="146">
        <f>F95-J95-N95</f>
        <v>56.100000000034925</v>
      </c>
    </row>
    <row r="96" spans="1:18" ht="20.25" customHeight="1">
      <c r="A96" s="7"/>
      <c r="B96" s="8" t="s">
        <v>284</v>
      </c>
      <c r="C96" s="8"/>
      <c r="D96" s="9"/>
      <c r="E96" s="8"/>
      <c r="F96" s="9"/>
      <c r="G96" s="8"/>
      <c r="H96" s="8"/>
      <c r="I96" s="8"/>
      <c r="J96" s="6"/>
      <c r="K96" s="8"/>
      <c r="L96" s="8"/>
      <c r="M96" s="8"/>
      <c r="N96" s="8"/>
      <c r="O96" s="8"/>
      <c r="P96" s="8"/>
      <c r="Q96" s="8"/>
      <c r="R96" s="8"/>
    </row>
    <row r="97" spans="1:18" ht="21" customHeight="1">
      <c r="A97" s="20"/>
      <c r="B97" s="168" t="s">
        <v>263</v>
      </c>
      <c r="C97" s="105"/>
      <c r="D97" s="106">
        <f>F97+E97</f>
        <v>36977140</v>
      </c>
      <c r="E97" s="107">
        <f>E10+E84</f>
        <v>1861708</v>
      </c>
      <c r="F97" s="106">
        <f>F10+F13+F16+F20+F24+F29+F33+F37+F41+F45+F49+F52+F56+F60+F64+F68+F72+F76+F80+F84+F87+F91+F95</f>
        <v>35115432</v>
      </c>
      <c r="G97" s="108">
        <f>J97+I97</f>
        <v>36976643.91</v>
      </c>
      <c r="H97" s="131">
        <f>G97*100/D97</f>
        <v>99.99865838731712</v>
      </c>
      <c r="I97" s="108">
        <f>I10+I84</f>
        <v>1861707.6</v>
      </c>
      <c r="J97" s="109">
        <f>J10+J13+J16+J20+J24+J29+J33+J37+J41+J45+J49+J52+J56+J60+J64+J68+J72+J76+J80+J84+J87+J91+J95</f>
        <v>35114936.309999995</v>
      </c>
      <c r="K97" s="108">
        <f>N97+M97</f>
        <v>3.8195224760784185E-11</v>
      </c>
      <c r="L97" s="110"/>
      <c r="M97" s="108">
        <f>M10+M84</f>
        <v>0</v>
      </c>
      <c r="N97" s="108">
        <f>N10+N13+N16+N20+N24+N29+N33+N37+N41+N45+N49+N52+N56+N60+N64+N68+N72+N76+N80+N84+N87+N91+N95</f>
        <v>3.8195224760784185E-11</v>
      </c>
      <c r="O97" s="109">
        <f>D97-G97-K97</f>
        <v>496.0900000035381</v>
      </c>
      <c r="P97" s="109">
        <f>O97*100/D97</f>
        <v>0.001341612682872548</v>
      </c>
      <c r="Q97" s="108">
        <f>Q10+Q13+Q16+Q20+Q24+Q29+Q33+Q37+Q41+Q45+Q49+Q52+Q56+Q60+Q64+Q68+Q72+Q76+Q80+Q87+Q91</f>
        <v>0</v>
      </c>
      <c r="R97" s="109">
        <f>F97-J97-N97</f>
        <v>495.6900000050282</v>
      </c>
    </row>
    <row r="98" spans="1:19" ht="16.5" customHeight="1">
      <c r="A98" s="46"/>
      <c r="B98" s="44" t="s">
        <v>287</v>
      </c>
      <c r="C98" s="52"/>
      <c r="D98" s="53"/>
      <c r="E98" s="52"/>
      <c r="F98" s="53"/>
      <c r="G98" s="52"/>
      <c r="H98" s="52"/>
      <c r="I98" s="52"/>
      <c r="J98" s="54"/>
      <c r="K98" s="52"/>
      <c r="L98" s="52"/>
      <c r="M98" s="52"/>
      <c r="N98" s="52"/>
      <c r="O98" s="52"/>
      <c r="P98" s="52"/>
      <c r="Q98" s="52"/>
      <c r="R98" s="52"/>
      <c r="S98" s="1">
        <v>4</v>
      </c>
    </row>
    <row r="99" spans="1:18" ht="16.5" customHeight="1">
      <c r="A99" s="7">
        <v>1.25</v>
      </c>
      <c r="B99" s="8" t="s">
        <v>288</v>
      </c>
      <c r="C99" s="135" t="s">
        <v>291</v>
      </c>
      <c r="D99" s="144">
        <f>F99+E99</f>
        <v>2893000</v>
      </c>
      <c r="E99" s="145"/>
      <c r="F99" s="144">
        <v>2893000</v>
      </c>
      <c r="G99" s="146">
        <f>I99+J99</f>
        <v>2892877.2199999993</v>
      </c>
      <c r="H99" s="174">
        <f>G99*100/D99</f>
        <v>99.99575596266848</v>
      </c>
      <c r="I99" s="146"/>
      <c r="J99" s="146">
        <f>70660.8+294464+90202+290843.1+271779+137870.65+78667+303353.5+136553.9+68816+536070+224617.5+32279.25+74891.8+18547.8+79560+8775.07+7305.3+72868.95+4050.4+62889.2+3837.8+23974.2</f>
        <v>2892877.2199999993</v>
      </c>
      <c r="K99" s="146">
        <f>M99+N99</f>
        <v>-2.7284841053187847E-12</v>
      </c>
      <c r="L99" s="146">
        <f>K99*100/D99</f>
        <v>-9.431331162526045E-17</v>
      </c>
      <c r="M99" s="146"/>
      <c r="N99" s="146">
        <f>136953.9+18000-136553.9+145962-400+10500-74891.8-18547.8-71070.2-4050.4-2040-3837.8-24</f>
        <v>-2.7284841053187847E-12</v>
      </c>
      <c r="O99" s="146">
        <f>D99-G99-K99</f>
        <v>122.78000000072916</v>
      </c>
      <c r="P99" s="146">
        <f>O99*100/D99</f>
        <v>0.004244037331515007</v>
      </c>
      <c r="Q99" s="146">
        <f>E99-I99-M99</f>
        <v>0</v>
      </c>
      <c r="R99" s="146">
        <f>F99-J99-N99</f>
        <v>122.78000000072916</v>
      </c>
    </row>
    <row r="100" spans="1:18" ht="16.5" customHeight="1">
      <c r="A100" s="7"/>
      <c r="B100" s="8" t="s">
        <v>289</v>
      </c>
      <c r="C100" s="8"/>
      <c r="D100" s="9"/>
      <c r="E100" s="8"/>
      <c r="F100" s="9"/>
      <c r="G100" s="8"/>
      <c r="H100" s="8"/>
      <c r="I100" s="8"/>
      <c r="J100" s="6"/>
      <c r="K100" s="8"/>
      <c r="L100" s="8"/>
      <c r="M100" s="8"/>
      <c r="N100" s="8"/>
      <c r="O100" s="8"/>
      <c r="P100" s="8"/>
      <c r="Q100" s="8"/>
      <c r="R100" s="8"/>
    </row>
    <row r="101" spans="1:18" ht="18.75" customHeight="1">
      <c r="A101" s="2"/>
      <c r="B101" s="3" t="s">
        <v>290</v>
      </c>
      <c r="C101" s="3"/>
      <c r="D101" s="18"/>
      <c r="E101" s="3"/>
      <c r="F101" s="18"/>
      <c r="G101" s="3"/>
      <c r="H101" s="3"/>
      <c r="I101" s="3"/>
      <c r="J101" s="4"/>
      <c r="K101" s="3"/>
      <c r="L101" s="3"/>
      <c r="M101" s="3"/>
      <c r="N101" s="3"/>
      <c r="O101" s="3"/>
      <c r="P101" s="3"/>
      <c r="Q101" s="3"/>
      <c r="R101" s="3"/>
    </row>
    <row r="102" spans="1:18" ht="16.5" customHeight="1">
      <c r="A102" s="46">
        <v>1.26</v>
      </c>
      <c r="B102" s="44" t="s">
        <v>294</v>
      </c>
      <c r="C102" s="52"/>
      <c r="D102" s="53"/>
      <c r="E102" s="52"/>
      <c r="F102" s="53"/>
      <c r="G102" s="52"/>
      <c r="H102" s="52"/>
      <c r="I102" s="52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6.5" customHeight="1">
      <c r="A103" s="7"/>
      <c r="B103" s="8" t="s">
        <v>292</v>
      </c>
      <c r="C103" s="135" t="s">
        <v>291</v>
      </c>
      <c r="D103" s="144">
        <f>F103+E103</f>
        <v>7880000</v>
      </c>
      <c r="E103" s="145"/>
      <c r="F103" s="144">
        <v>7880000</v>
      </c>
      <c r="G103" s="146">
        <f>I103+J103</f>
        <v>7879986.449999999</v>
      </c>
      <c r="H103" s="174">
        <f>G103*100/D103</f>
        <v>99.99982804568526</v>
      </c>
      <c r="I103" s="146"/>
      <c r="J103" s="146">
        <f>138615.2+464625+498030+310230+100392.1+270544+311077+712622.88+314869.05+192195.9+7210.8+39000+215553.75+83264+199000+283954.95+516500+176250+193132.6+99810+43538.1+258339.95+10729+64280+151698.5-947.35+213344.1+141599.5+2241.65+2895.42+45800+96360+99849+9231+258236.7+155795.6+45522+37268.1+48000+23090+286607.2+58625+55000+154140+66068.3+7788+32806.8+200095.2+6000+95824+36281.75+6000+33441.7+6000+1560</f>
        <v>7879986.449999999</v>
      </c>
      <c r="K103" s="146">
        <f>M103+N103</f>
        <v>1.964508555829525E-10</v>
      </c>
      <c r="L103" s="146">
        <f>K103*100/D103</f>
        <v>2.4930311622202096E-15</v>
      </c>
      <c r="M103" s="146"/>
      <c r="N103" s="146">
        <f>105699.3+391803.75+117678.6+21600-100392.1+84708.9-5307.2-192195.9+117740.4+73789.05-7210.8-600.9-9590.7-215553.75+96108+58714.8-176250-193132.6-5607.65+29120+18000+45000-151698.5+79481.5-1725.2-8009+128857.6+11920-141599.5-568.5+29120+23082.4-155795.6-20+18000-66068.3-446-420-232.1-6000-6000-6000</f>
        <v>1.964508555829525E-10</v>
      </c>
      <c r="O103" s="146">
        <f>D103-G103-K103</f>
        <v>13.550000000548607</v>
      </c>
      <c r="P103" s="146">
        <f>O103*100/D103</f>
        <v>0.0001719543147277742</v>
      </c>
      <c r="Q103" s="146">
        <f>E103-I103-M103</f>
        <v>0</v>
      </c>
      <c r="R103" s="146">
        <f>F103-J103-N103</f>
        <v>13.550000000548607</v>
      </c>
    </row>
    <row r="104" spans="1:18" ht="16.5" customHeight="1">
      <c r="A104" s="7"/>
      <c r="B104" s="8" t="s">
        <v>293</v>
      </c>
      <c r="C104" s="8"/>
      <c r="D104" s="9"/>
      <c r="E104" s="8"/>
      <c r="F104" s="9"/>
      <c r="G104" s="8"/>
      <c r="H104" s="8"/>
      <c r="I104" s="8"/>
      <c r="J104" s="6"/>
      <c r="K104" s="8"/>
      <c r="L104" s="8"/>
      <c r="M104" s="8"/>
      <c r="N104" s="8"/>
      <c r="O104" s="8"/>
      <c r="P104" s="8"/>
      <c r="Q104" s="8"/>
      <c r="R104" s="8"/>
    </row>
    <row r="105" spans="1:18" ht="16.5" customHeight="1">
      <c r="A105" s="2"/>
      <c r="B105" s="3" t="s">
        <v>262</v>
      </c>
      <c r="C105" s="3"/>
      <c r="D105" s="18"/>
      <c r="E105" s="3"/>
      <c r="F105" s="18"/>
      <c r="G105" s="3"/>
      <c r="H105" s="3"/>
      <c r="I105" s="3"/>
      <c r="J105" s="4"/>
      <c r="K105" s="3"/>
      <c r="L105" s="3"/>
      <c r="M105" s="3"/>
      <c r="N105" s="3"/>
      <c r="O105" s="3"/>
      <c r="P105" s="3"/>
      <c r="Q105" s="3"/>
      <c r="R105" s="3"/>
    </row>
    <row r="106" spans="1:18" ht="16.5" customHeight="1">
      <c r="A106" s="46">
        <v>1.27</v>
      </c>
      <c r="B106" s="44" t="s">
        <v>295</v>
      </c>
      <c r="C106" s="52"/>
      <c r="D106" s="53"/>
      <c r="E106" s="52"/>
      <c r="F106" s="53"/>
      <c r="G106" s="52"/>
      <c r="H106" s="52"/>
      <c r="I106" s="52"/>
      <c r="J106" s="54"/>
      <c r="K106" s="52"/>
      <c r="L106" s="52"/>
      <c r="M106" s="52"/>
      <c r="N106" s="52"/>
      <c r="O106" s="52"/>
      <c r="P106" s="52"/>
      <c r="Q106" s="52"/>
      <c r="R106" s="52"/>
    </row>
    <row r="107" spans="1:18" ht="16.5" customHeight="1">
      <c r="A107" s="7"/>
      <c r="B107" s="8" t="s">
        <v>296</v>
      </c>
      <c r="C107" s="135" t="s">
        <v>291</v>
      </c>
      <c r="D107" s="144">
        <f>F107+E107</f>
        <v>6810000</v>
      </c>
      <c r="E107" s="145"/>
      <c r="F107" s="144">
        <v>6810000</v>
      </c>
      <c r="G107" s="146">
        <f>I107+J107</f>
        <v>6809741.039999997</v>
      </c>
      <c r="H107" s="174">
        <f>G107*100/D107</f>
        <v>99.99619735682816</v>
      </c>
      <c r="I107" s="146"/>
      <c r="J107" s="146">
        <f>46371.15+138798+279586.8+24915+351642+384586.55+76060+98995+411679.35+338340+145936+858900+600430.5+83300+28440+83160+481920+33122.25+319916.25+7200+98915+85160+98895+89160+317177.9+2144+31495+15030.29+6000+13399.08+30914.1+28800+71922.6+46656.2+97960+30918.1+90849.6+33321.6+59055+16600+97622+271394.8+1668+27472.5+89915+13945.22+88010.55+4034.76+6537+5000+11322.74+36281.75+7493+7000+4520+56950.6+14900.8+5680+2320</f>
        <v>6809741.039999997</v>
      </c>
      <c r="K107" s="146">
        <f>M107+N107</f>
        <v>0</v>
      </c>
      <c r="L107" s="146">
        <f>K107*100/D107</f>
        <v>0</v>
      </c>
      <c r="M107" s="146"/>
      <c r="N107" s="146">
        <f>29120+14400+115619.6-145936+2400-7200+10920+21840+45000-6000+18000-46656.2-20-2403.6+11920-33321.6-27472.5+18000-189.7-20-5000-7000+8900.8-14900.8</f>
        <v>0</v>
      </c>
      <c r="O107" s="146">
        <f>D107-G107-K107</f>
        <v>258.9600000027567</v>
      </c>
      <c r="P107" s="146">
        <f>O107*100/D107</f>
        <v>0.0038026431718466477</v>
      </c>
      <c r="Q107" s="146">
        <f>E107-I107-M107</f>
        <v>0</v>
      </c>
      <c r="R107" s="146">
        <f>F107-J107-N107</f>
        <v>258.9600000027567</v>
      </c>
    </row>
    <row r="108" spans="1:18" ht="16.5" customHeight="1">
      <c r="A108" s="7"/>
      <c r="B108" s="8" t="s">
        <v>293</v>
      </c>
      <c r="C108" s="8"/>
      <c r="D108" s="9"/>
      <c r="E108" s="8"/>
      <c r="F108" s="9"/>
      <c r="G108" s="8"/>
      <c r="H108" s="8"/>
      <c r="I108" s="8"/>
      <c r="J108" s="6"/>
      <c r="K108" s="8"/>
      <c r="L108" s="8"/>
      <c r="M108" s="8"/>
      <c r="N108" s="8"/>
      <c r="O108" s="8"/>
      <c r="P108" s="8"/>
      <c r="Q108" s="8"/>
      <c r="R108" s="8"/>
    </row>
    <row r="109" spans="1:18" ht="16.5" customHeight="1">
      <c r="A109" s="7"/>
      <c r="B109" s="8" t="s">
        <v>262</v>
      </c>
      <c r="C109" s="8"/>
      <c r="D109" s="9"/>
      <c r="E109" s="8"/>
      <c r="F109" s="9"/>
      <c r="G109" s="8"/>
      <c r="H109" s="8"/>
      <c r="I109" s="8"/>
      <c r="J109" s="6"/>
      <c r="K109" s="8"/>
      <c r="L109" s="8"/>
      <c r="M109" s="8"/>
      <c r="N109" s="8"/>
      <c r="O109" s="8"/>
      <c r="P109" s="8"/>
      <c r="Q109" s="8"/>
      <c r="R109" s="8"/>
    </row>
    <row r="110" spans="1:18" ht="16.5" customHeight="1">
      <c r="A110" s="7"/>
      <c r="B110" s="5" t="s">
        <v>297</v>
      </c>
      <c r="C110" s="8"/>
      <c r="D110" s="9"/>
      <c r="E110" s="8"/>
      <c r="F110" s="9"/>
      <c r="G110" s="8"/>
      <c r="H110" s="8"/>
      <c r="I110" s="8"/>
      <c r="J110" s="6"/>
      <c r="K110" s="8"/>
      <c r="L110" s="8"/>
      <c r="M110" s="8"/>
      <c r="N110" s="8"/>
      <c r="O110" s="8"/>
      <c r="P110" s="8"/>
      <c r="Q110" s="8"/>
      <c r="R110" s="8"/>
    </row>
    <row r="111" spans="1:18" ht="16.5" customHeight="1">
      <c r="A111" s="7">
        <v>1.28</v>
      </c>
      <c r="B111" s="8" t="s">
        <v>298</v>
      </c>
      <c r="C111" s="135" t="s">
        <v>291</v>
      </c>
      <c r="D111" s="144">
        <f>F111+E111</f>
        <v>4500000</v>
      </c>
      <c r="E111" s="145"/>
      <c r="F111" s="144">
        <v>4500000</v>
      </c>
      <c r="G111" s="146">
        <f>I111+J111</f>
        <v>4499534.129999999</v>
      </c>
      <c r="H111" s="146">
        <f>G111*100/D111</f>
        <v>99.98964733333331</v>
      </c>
      <c r="I111" s="146"/>
      <c r="J111" s="146">
        <f>93560+574505.28+83315+448916+58050.8+2320+272000+46733+36030+24036+209168+140094+84090+4975.6+99783+499110+178830.65+107062.9+3600+85160+10105+22151+1280+14999+232947.75+50794.45+94917+91560+46138.2+12348+219968.55+8226+99750+1280+96360+176510.15+17657+8000.8+156798+15305.2+10738.6+1280+6650+14610.6+5775.6+3890+16001.8+12151.2</f>
        <v>4499534.129999999</v>
      </c>
      <c r="K111" s="146">
        <f>M111+N111</f>
        <v>5.711342510039685E-11</v>
      </c>
      <c r="L111" s="146">
        <f>K111*100/D111</f>
        <v>1.2691872244532633E-15</v>
      </c>
      <c r="M111" s="146"/>
      <c r="N111" s="146">
        <f>481168+24036-272000-24036+252270+21100-209168-84090-4975.6+44049.5+18021.6+6007.2+12014.4+6007.2-107062.9-46138.2-4004.5-105112.5+27000-8086.2-8226-8000.8-10738.6+18000-34.6-5775.6-12151.2-73.2</f>
        <v>5.711342510039685E-11</v>
      </c>
      <c r="O111" s="146">
        <f>D111-G111-K111</f>
        <v>465.87000000098595</v>
      </c>
      <c r="P111" s="146">
        <f>O111*100/D111</f>
        <v>0.010352666666688578</v>
      </c>
      <c r="Q111" s="146">
        <f>E111-I111-M111</f>
        <v>0</v>
      </c>
      <c r="R111" s="146">
        <f>F111-J111-N111</f>
        <v>465.87000000098595</v>
      </c>
    </row>
    <row r="112" spans="1:18" ht="16.5" customHeight="1">
      <c r="A112" s="7"/>
      <c r="B112" s="8" t="s">
        <v>299</v>
      </c>
      <c r="C112" s="8"/>
      <c r="D112" s="9"/>
      <c r="E112" s="8"/>
      <c r="F112" s="9"/>
      <c r="G112" s="8"/>
      <c r="H112" s="8"/>
      <c r="I112" s="8"/>
      <c r="J112" s="6"/>
      <c r="K112" s="8"/>
      <c r="L112" s="8"/>
      <c r="M112" s="8"/>
      <c r="N112" s="8"/>
      <c r="O112" s="8"/>
      <c r="P112" s="8"/>
      <c r="Q112" s="8"/>
      <c r="R112" s="8"/>
    </row>
    <row r="113" spans="1:18" ht="16.5" customHeight="1">
      <c r="A113" s="7"/>
      <c r="B113" s="8" t="s">
        <v>211</v>
      </c>
      <c r="C113" s="8"/>
      <c r="D113" s="9"/>
      <c r="E113" s="8"/>
      <c r="F113" s="9"/>
      <c r="G113" s="8"/>
      <c r="H113" s="8"/>
      <c r="I113" s="8"/>
      <c r="J113" s="6"/>
      <c r="K113" s="8"/>
      <c r="L113" s="8"/>
      <c r="M113" s="8"/>
      <c r="N113" s="8" t="s">
        <v>327</v>
      </c>
      <c r="O113" s="8"/>
      <c r="P113" s="8"/>
      <c r="Q113" s="8"/>
      <c r="R113" s="8"/>
    </row>
    <row r="114" spans="1:18" ht="16.5" customHeight="1">
      <c r="A114" s="7"/>
      <c r="B114" s="5" t="s">
        <v>300</v>
      </c>
      <c r="C114" s="8"/>
      <c r="D114" s="9"/>
      <c r="E114" s="8"/>
      <c r="F114" s="9"/>
      <c r="G114" s="8"/>
      <c r="H114" s="8"/>
      <c r="I114" s="8"/>
      <c r="J114" s="6"/>
      <c r="K114" s="8"/>
      <c r="L114" s="8"/>
      <c r="M114" s="8"/>
      <c r="N114" s="8"/>
      <c r="O114" s="8"/>
      <c r="P114" s="8"/>
      <c r="Q114" s="8"/>
      <c r="R114" s="8"/>
    </row>
    <row r="115" spans="1:18" ht="16.5" customHeight="1">
      <c r="A115" s="7">
        <v>1.29</v>
      </c>
      <c r="B115" s="8" t="s">
        <v>301</v>
      </c>
      <c r="C115" s="135" t="s">
        <v>291</v>
      </c>
      <c r="D115" s="144">
        <f>F115+E115</f>
        <v>899927</v>
      </c>
      <c r="E115" s="145"/>
      <c r="F115" s="144">
        <f>900000-73</f>
        <v>899927</v>
      </c>
      <c r="G115" s="146">
        <f>I115+J115</f>
        <v>899926.55</v>
      </c>
      <c r="H115" s="174">
        <f>G115*100/D115</f>
        <v>99.99994999594412</v>
      </c>
      <c r="I115" s="146"/>
      <c r="J115" s="146">
        <f>215667.7+97789.5+26630+116101.6+382296.75+22890+34929+3622</f>
        <v>899926.55</v>
      </c>
      <c r="K115" s="146">
        <f>M115+N115</f>
        <v>0</v>
      </c>
      <c r="L115" s="146">
        <f>K115*100/D115</f>
        <v>0</v>
      </c>
      <c r="M115" s="146"/>
      <c r="N115" s="146"/>
      <c r="O115" s="146">
        <f>D115-G115-K115</f>
        <v>0.44999999995343387</v>
      </c>
      <c r="P115" s="146">
        <f>O115*100/D115</f>
        <v>5.000405587935842E-05</v>
      </c>
      <c r="Q115" s="146">
        <f>E115-I115-M115</f>
        <v>0</v>
      </c>
      <c r="R115" s="146">
        <f>F115-J115-N115</f>
        <v>0.44999999995343387</v>
      </c>
    </row>
    <row r="116" spans="1:18" ht="16.5" customHeight="1">
      <c r="A116" s="7"/>
      <c r="B116" s="8" t="s">
        <v>256</v>
      </c>
      <c r="C116" s="8"/>
      <c r="D116" s="9"/>
      <c r="E116" s="8"/>
      <c r="F116" s="9"/>
      <c r="G116" s="8"/>
      <c r="H116" s="8"/>
      <c r="I116" s="8"/>
      <c r="J116" s="6"/>
      <c r="K116" s="8"/>
      <c r="L116" s="8"/>
      <c r="M116" s="8"/>
      <c r="N116" s="8"/>
      <c r="O116" s="8"/>
      <c r="P116" s="8"/>
      <c r="Q116" s="8"/>
      <c r="R116" s="8"/>
    </row>
    <row r="117" spans="1:18" ht="16.5" customHeight="1">
      <c r="A117" s="7"/>
      <c r="B117" s="8" t="s">
        <v>257</v>
      </c>
      <c r="C117" s="8"/>
      <c r="D117" s="9"/>
      <c r="E117" s="8"/>
      <c r="F117" s="9"/>
      <c r="G117" s="8"/>
      <c r="H117" s="8"/>
      <c r="I117" s="8"/>
      <c r="J117" s="6"/>
      <c r="K117" s="8"/>
      <c r="L117" s="8"/>
      <c r="M117" s="8"/>
      <c r="N117" s="8"/>
      <c r="O117" s="8"/>
      <c r="P117" s="8"/>
      <c r="Q117" s="8"/>
      <c r="R117" s="8"/>
    </row>
    <row r="118" spans="1:18" ht="16.5" customHeight="1">
      <c r="A118" s="7"/>
      <c r="B118" s="5" t="s">
        <v>303</v>
      </c>
      <c r="C118" s="8"/>
      <c r="D118" s="9"/>
      <c r="E118" s="8"/>
      <c r="F118" s="9"/>
      <c r="G118" s="8"/>
      <c r="H118" s="8"/>
      <c r="I118" s="8"/>
      <c r="J118" s="6"/>
      <c r="K118" s="8"/>
      <c r="L118" s="8"/>
      <c r="M118" s="8"/>
      <c r="N118" s="8"/>
      <c r="O118" s="8"/>
      <c r="P118" s="8"/>
      <c r="Q118" s="8"/>
      <c r="R118" s="8"/>
    </row>
    <row r="119" spans="1:18" ht="16.5" customHeight="1">
      <c r="A119" s="139" t="s">
        <v>306</v>
      </c>
      <c r="B119" s="8" t="s">
        <v>304</v>
      </c>
      <c r="C119" s="135" t="s">
        <v>291</v>
      </c>
      <c r="D119" s="144">
        <f>F119+E119</f>
        <v>18518358</v>
      </c>
      <c r="E119" s="145">
        <v>492158</v>
      </c>
      <c r="F119" s="144">
        <f>18011236+14964</f>
        <v>18026200</v>
      </c>
      <c r="G119" s="146">
        <f>I119+J119</f>
        <v>18518283.44</v>
      </c>
      <c r="H119" s="174">
        <f>G119*100/D119</f>
        <v>99.99959737251004</v>
      </c>
      <c r="I119" s="146">
        <v>492157.13</v>
      </c>
      <c r="J119" s="146">
        <f>72270+7305.3+259299.9+201560+437236+40383.7+140340+337682.15+86104+74050+297000+11251.89+180700+198538.9+471780+331272.96+127140+234300+407961+119340+227479.9+97985+98812.5+30680+78400+167500+28444+768000+113346.45+391207.95+127740+273200+325028.1+110010+37069.7+227712.7+85160+960+27840+251250+77500+3380+543932.3+27150+269900+170515.5+137340+309757.9+33500+512000+77500+89960+11130+436732.65+247800+512000+251250+320570.15+246589.3+30720+6720+4351+253472.5+55475+251360+512000+249575+99750+1693.81+5408+3840+432468.9+397259.35+40060+76175+475909.55+15820+6266+66040+107898+99756+43026+536011.3+356316.7+7215+115605+75780+6552+294069.8+64351.8+301643.15+429073.15+40063.4+23750+30750+20586+330667.1+83731.5+18400+6396+5440+220444.5+42385.9</f>
        <v>18026126.310000002</v>
      </c>
      <c r="K119" s="146">
        <f>M119+N119</f>
        <v>-1.5279510989785194E-09</v>
      </c>
      <c r="L119" s="146">
        <f>K119*100/D119</f>
        <v>-8.251007454216617E-15</v>
      </c>
      <c r="M119" s="146"/>
      <c r="N119" s="146">
        <f>936826.56+1457260+246986+18480+919575-40383.7-180700+2304000+253812.5+31160+72108+271684.6-198538.9-331272.96+76800+21100-234300+6000-227479.9-98812.5+23520+910288.4-30680-167500-768000+18060+10920-273200-325028.1-110010-37069.7-227712.7-480-251250-77500-105943.5-15623.4-4200-25538.25+57686.4-269900-170515.5+5040+32340+8009+8009+12013.5+4004.5+40500-309757.9+136153+117000-512000-77500-60-49.6-44.6-85.4+5040+32340+12013.5-247800-512000-251250+111767.4+26040+933307.7-246589.3+154431.3-6720-253472.5-251360-512000-249575-420-4200-15623.4-261129.95-8409+26000+18000+15000-475909.55-64897.2+15000-44.7+36400+13200+18000+117000-356316.7+21840+10920+51856.7+40500-33-3360-23735.55-242047.35+7560-429073.15-40063.4-83731.5-840-11384.6-44.7-42385.9</f>
        <v>-1.5279510989785194E-09</v>
      </c>
      <c r="O119" s="146">
        <f>D119-G119-K119</f>
        <v>74.56000000018685</v>
      </c>
      <c r="P119" s="146">
        <f>O119*100/D119</f>
        <v>0.0004026274899760921</v>
      </c>
      <c r="Q119" s="146">
        <f>E119-I119-M119</f>
        <v>0.8699999999953434</v>
      </c>
      <c r="R119" s="146">
        <f>F119-J119-N119</f>
        <v>73.68999999914377</v>
      </c>
    </row>
    <row r="120" spans="1:18" ht="16.5" customHeight="1">
      <c r="A120" s="7"/>
      <c r="B120" s="8" t="s">
        <v>12</v>
      </c>
      <c r="C120" s="8"/>
      <c r="D120" s="9"/>
      <c r="E120" s="8"/>
      <c r="F120" s="9"/>
      <c r="G120" s="8"/>
      <c r="H120" s="8"/>
      <c r="I120" s="8"/>
      <c r="J120" s="6"/>
      <c r="K120" s="8"/>
      <c r="L120" s="8"/>
      <c r="M120" s="8"/>
      <c r="N120" s="8"/>
      <c r="O120" s="8"/>
      <c r="P120" s="8"/>
      <c r="Q120" s="8"/>
      <c r="R120" s="8"/>
    </row>
    <row r="121" spans="1:18" ht="18" customHeight="1">
      <c r="A121" s="2"/>
      <c r="B121" s="147" t="s">
        <v>302</v>
      </c>
      <c r="C121" s="148"/>
      <c r="D121" s="112">
        <f>F121+E121</f>
        <v>41501285</v>
      </c>
      <c r="E121" s="113">
        <f>SUM(E119:E120)</f>
        <v>492158</v>
      </c>
      <c r="F121" s="112">
        <f>F99+F103+F107+F111+F115+F119</f>
        <v>41009127</v>
      </c>
      <c r="G121" s="114">
        <f>J121+I121</f>
        <v>41500348.83</v>
      </c>
      <c r="H121" s="130">
        <f>G121*100/D121</f>
        <v>99.99774423852178</v>
      </c>
      <c r="I121" s="114">
        <f>I119</f>
        <v>492157.13</v>
      </c>
      <c r="J121" s="98">
        <f>J99+J103+J107+J111+J115+J119</f>
        <v>41008191.699999996</v>
      </c>
      <c r="K121" s="114">
        <f>N121+M121</f>
        <v>-1.2771153024004889E-09</v>
      </c>
      <c r="L121" s="98">
        <f>K121*100/D121</f>
        <v>-3.077290986051369E-15</v>
      </c>
      <c r="M121" s="114">
        <f>M119</f>
        <v>0</v>
      </c>
      <c r="N121" s="114">
        <f>N99+N103+N107+N111+N115+N119</f>
        <v>-1.2771153024004889E-09</v>
      </c>
      <c r="O121" s="98">
        <f>D121-G121-K121</f>
        <v>936.1700000030653</v>
      </c>
      <c r="P121" s="98">
        <f>O121*100/D121</f>
        <v>0.002255761478236313</v>
      </c>
      <c r="Q121" s="114">
        <f>Q99+Q103+Q107+Q111+Q115+Q119</f>
        <v>0.8699999999953434</v>
      </c>
      <c r="R121" s="98">
        <f>F121-J121-N121</f>
        <v>935.3000000057475</v>
      </c>
    </row>
    <row r="122" spans="1:18" ht="18" customHeight="1">
      <c r="A122" s="76"/>
      <c r="B122" s="5" t="s">
        <v>308</v>
      </c>
      <c r="C122" s="158"/>
      <c r="D122" s="159"/>
      <c r="E122" s="160"/>
      <c r="F122" s="159"/>
      <c r="G122" s="161"/>
      <c r="H122" s="162"/>
      <c r="I122" s="161"/>
      <c r="J122" s="157"/>
      <c r="K122" s="161"/>
      <c r="L122" s="163"/>
      <c r="M122" s="161"/>
      <c r="N122" s="161"/>
      <c r="O122" s="157"/>
      <c r="P122" s="157"/>
      <c r="Q122" s="161"/>
      <c r="R122" s="157"/>
    </row>
    <row r="123" spans="1:18" ht="18" customHeight="1">
      <c r="A123" s="139" t="s">
        <v>309</v>
      </c>
      <c r="B123" s="3" t="s">
        <v>310</v>
      </c>
      <c r="C123" s="95" t="s">
        <v>313</v>
      </c>
      <c r="D123" s="96">
        <f>F123+E123</f>
        <v>8000000</v>
      </c>
      <c r="E123" s="97"/>
      <c r="F123" s="96">
        <v>8000000</v>
      </c>
      <c r="G123" s="98">
        <f>I123+J123</f>
        <v>7999982.66</v>
      </c>
      <c r="H123" s="130">
        <f>G123*100/D123</f>
        <v>99.99978325</v>
      </c>
      <c r="I123" s="98"/>
      <c r="J123" s="98">
        <f>71520+48263.85+211230+7256.35+65307.15+211230+80290+92070+191430+191430+26000+20330+493200+183330+191430+489250+79493.4+150000+337000+25236+52000+179730+6609.9+183330+183330+120320.15+52000+192330+192330+192330+196830+133867.55+206730+106900+203130+206730+122212.85+44200+216630+12051+342350+217530+217530+199530+111011.43+58974.4+138549.5+222930+43200+18599+228330+12347+22645+17100+6970+68145.2+3134.03+52330+33600+3040+13248.9</f>
        <v>7999982.66</v>
      </c>
      <c r="K123" s="98">
        <f>M123+N123</f>
        <v>0</v>
      </c>
      <c r="L123" s="98">
        <f>K123*100/D123</f>
        <v>0</v>
      </c>
      <c r="M123" s="98"/>
      <c r="N123" s="98">
        <f>2600+23400-26000+4000+48000+4000+48000-52000+4600+55200+29120+18000-52000+3400+40800-106900-20+3600+43200-44200-43200+38400-3600-4800-33600</f>
        <v>0</v>
      </c>
      <c r="O123" s="98">
        <f>D123-G123-K123</f>
        <v>17.33999999985099</v>
      </c>
      <c r="P123" s="98">
        <f>O123*100/D123</f>
        <v>0.00021674999999813735</v>
      </c>
      <c r="Q123" s="98">
        <f>E123-I123-M123</f>
        <v>0</v>
      </c>
      <c r="R123" s="98">
        <f>F123-J123-N123</f>
        <v>17.33999999985099</v>
      </c>
    </row>
    <row r="124" spans="1:18" ht="18" customHeight="1">
      <c r="A124" s="76"/>
      <c r="B124" s="3" t="s">
        <v>311</v>
      </c>
      <c r="C124" s="158"/>
      <c r="D124" s="159"/>
      <c r="E124" s="160"/>
      <c r="F124" s="159"/>
      <c r="G124" s="161"/>
      <c r="H124" s="162"/>
      <c r="I124" s="161"/>
      <c r="J124" s="157"/>
      <c r="K124" s="161"/>
      <c r="L124" s="163"/>
      <c r="M124" s="161"/>
      <c r="N124" s="161"/>
      <c r="O124" s="157"/>
      <c r="P124" s="157"/>
      <c r="Q124" s="161"/>
      <c r="R124" s="157"/>
    </row>
    <row r="125" spans="1:18" ht="18" customHeight="1">
      <c r="A125" s="76"/>
      <c r="B125" s="164" t="s">
        <v>312</v>
      </c>
      <c r="C125" s="158"/>
      <c r="D125" s="159"/>
      <c r="E125" s="160"/>
      <c r="F125" s="159"/>
      <c r="G125" s="161"/>
      <c r="H125" s="162"/>
      <c r="I125" s="161"/>
      <c r="J125" s="157"/>
      <c r="K125" s="161"/>
      <c r="L125" s="163"/>
      <c r="M125" s="161"/>
      <c r="N125" s="161"/>
      <c r="O125" s="157"/>
      <c r="P125" s="157"/>
      <c r="Q125" s="161"/>
      <c r="R125" s="157"/>
    </row>
    <row r="126" spans="1:18" ht="18" customHeight="1">
      <c r="A126" s="76"/>
      <c r="B126" s="169" t="s">
        <v>314</v>
      </c>
      <c r="C126" s="165"/>
      <c r="D126" s="125">
        <f>F126+E126</f>
        <v>87437811</v>
      </c>
      <c r="E126" s="166">
        <f>E7+E97+E121+E123</f>
        <v>2353866</v>
      </c>
      <c r="F126" s="125">
        <f>F7+F97+F121+F123</f>
        <v>85083945</v>
      </c>
      <c r="G126" s="126">
        <f>J126+I126</f>
        <v>87436360.92</v>
      </c>
      <c r="H126" s="167">
        <f>G126*100/D126</f>
        <v>99.99834158702807</v>
      </c>
      <c r="I126" s="126">
        <f>I7+I97+I121+I123</f>
        <v>2353864.73</v>
      </c>
      <c r="J126" s="127">
        <f>J7+J97+J121+J123</f>
        <v>85082496.19</v>
      </c>
      <c r="K126" s="126">
        <f>N126+M126</f>
        <v>-1.2389200776397047E-09</v>
      </c>
      <c r="L126" s="127">
        <f>K126*100/D126</f>
        <v>-1.4169157066840393E-15</v>
      </c>
      <c r="M126" s="126">
        <f>M7+M97+M121+M123</f>
        <v>0</v>
      </c>
      <c r="N126" s="126">
        <f>N7+N97+N121+N123</f>
        <v>-1.2389200776397047E-09</v>
      </c>
      <c r="O126" s="127">
        <f>D126-G126-K126</f>
        <v>1450.0799999994508</v>
      </c>
      <c r="P126" s="127">
        <f>O126*100/D126</f>
        <v>0.0016584129719343624</v>
      </c>
      <c r="Q126" s="126">
        <f>Q7+Q97+Q121+Q123</f>
        <v>0.8699999999953434</v>
      </c>
      <c r="R126" s="127">
        <f>F126-J126-N126</f>
        <v>1448.8100000036231</v>
      </c>
    </row>
    <row r="127" spans="1:19" ht="20.25" customHeight="1">
      <c r="A127" s="76">
        <v>2</v>
      </c>
      <c r="B127" s="117" t="s">
        <v>268</v>
      </c>
      <c r="C127" s="81"/>
      <c r="D127" s="82"/>
      <c r="E127" s="83"/>
      <c r="F127" s="82"/>
      <c r="G127" s="84"/>
      <c r="H127" s="85"/>
      <c r="I127" s="84"/>
      <c r="J127" s="86"/>
      <c r="K127" s="84"/>
      <c r="L127" s="85"/>
      <c r="M127" s="84"/>
      <c r="N127" s="84"/>
      <c r="O127" s="84"/>
      <c r="P127" s="85"/>
      <c r="Q127" s="84"/>
      <c r="R127" s="84"/>
      <c r="S127" s="118"/>
    </row>
    <row r="128" spans="1:18" ht="20.25" customHeight="1">
      <c r="A128" s="2"/>
      <c r="B128" s="5" t="s">
        <v>165</v>
      </c>
      <c r="C128" s="3"/>
      <c r="D128" s="18"/>
      <c r="E128" s="3"/>
      <c r="F128" s="18"/>
      <c r="G128" s="3"/>
      <c r="H128" s="3"/>
      <c r="I128" s="3"/>
      <c r="J128" s="4"/>
      <c r="K128" s="3"/>
      <c r="L128" s="3"/>
      <c r="M128" s="3"/>
      <c r="N128" s="3"/>
      <c r="O128" s="3"/>
      <c r="P128" s="3"/>
      <c r="Q128" s="3"/>
      <c r="R128" s="3"/>
    </row>
    <row r="129" spans="1:18" ht="16.5" customHeight="1">
      <c r="A129" s="2">
        <v>2.1</v>
      </c>
      <c r="B129" s="8" t="s">
        <v>266</v>
      </c>
      <c r="C129" s="151" t="s">
        <v>169</v>
      </c>
      <c r="D129" s="96">
        <f>F129+E129</f>
        <v>13650000</v>
      </c>
      <c r="E129" s="97"/>
      <c r="F129" s="96">
        <v>13650000</v>
      </c>
      <c r="G129" s="98">
        <f>I129+J129</f>
        <v>13649983.030000005</v>
      </c>
      <c r="H129" s="130">
        <f>G129*100/D129</f>
        <v>99.99987567765571</v>
      </c>
      <c r="I129" s="98"/>
      <c r="J129" s="98">
        <f>95560+143940+48159.3+141540+18743+150360+82038+86505+142140+88460+58529+152362.35+36095+97800+123211.3+83048.58+188665.1+39535+1415415+79588.5+463330+435664+533615+125462.2+99400+131340+124140+410300+353122.25+533000+199241.4+8307+43880+17548+404469+121740+10774+32326.84+410300+361323.95+96900+127740+228167.95+6960+4640+533000+130740+339783.65+39535+219875.3+212568+206010+284851.35+203310+46371.15+36095+207538.8+39600+220410+216810+97940+32000+90900+352047.2+227610+229306.55+77070+90440+98200+331265.5+48586.3+188396.2+4640+25866.9+8405.4+7932+35966.3+32168+8405.4+21915+18908.01+25869.9+8405.4+82954+10800+2100</f>
        <v>13649983.030000005</v>
      </c>
      <c r="K129" s="98">
        <f>M129+N129</f>
        <v>3.019522409886122E-10</v>
      </c>
      <c r="L129" s="98">
        <f>K129*100/D129</f>
        <v>2.2121043295869025E-15</v>
      </c>
      <c r="M129" s="98"/>
      <c r="N129" s="98">
        <f>440744+1599615+1256264+67286.4+62470.2-123211.3-2803.6-435664-533615-125462.2+408459+25216.2-410300+88099-533000-199241.4-410300-228167.95-533000+42043.2+432486-219875.3-45036.45-16013.5+8009+8009+4004.5-207538.8+6605.4+13210.8+13210.8+13210.8-229306.55-48010.8+25216.2-188396.2-8405.4-8405.4-8405.4-0.25</f>
        <v>3.019522409886122E-10</v>
      </c>
      <c r="O129" s="98">
        <f>D129-G129-K129</f>
        <v>16.969999994780665</v>
      </c>
      <c r="P129" s="98">
        <f>O129*100/D129</f>
        <v>0.00012432234428410744</v>
      </c>
      <c r="Q129" s="98">
        <f>E129-I129-M129</f>
        <v>0</v>
      </c>
      <c r="R129" s="98">
        <f>F129-J129-N129</f>
        <v>16.969999994780665</v>
      </c>
    </row>
    <row r="130" spans="1:18" ht="16.5" customHeight="1">
      <c r="A130" s="7"/>
      <c r="B130" s="8" t="s">
        <v>267</v>
      </c>
      <c r="C130" s="8"/>
      <c r="D130" s="9"/>
      <c r="E130" s="8"/>
      <c r="F130" s="9"/>
      <c r="G130" s="8"/>
      <c r="H130" s="8"/>
      <c r="I130" s="8"/>
      <c r="J130" s="6"/>
      <c r="K130" s="8"/>
      <c r="L130" s="8"/>
      <c r="M130" s="8"/>
      <c r="N130" s="8"/>
      <c r="O130" s="8"/>
      <c r="P130" s="8"/>
      <c r="Q130" s="8"/>
      <c r="R130" s="8"/>
    </row>
    <row r="131" spans="1:18" ht="17.25" customHeight="1">
      <c r="A131" s="20"/>
      <c r="B131" s="19"/>
      <c r="C131" s="132"/>
      <c r="D131" s="91"/>
      <c r="E131" s="92"/>
      <c r="F131" s="91"/>
      <c r="G131" s="93"/>
      <c r="H131" s="94"/>
      <c r="I131" s="93"/>
      <c r="J131" s="94"/>
      <c r="K131" s="93"/>
      <c r="L131" s="94"/>
      <c r="M131" s="93"/>
      <c r="N131" s="93"/>
      <c r="O131" s="93"/>
      <c r="P131" s="94"/>
      <c r="Q131" s="93"/>
      <c r="R131" s="93"/>
    </row>
    <row r="133" ht="18">
      <c r="B133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2" t="s">
        <v>323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5.75" customHeight="1">
      <c r="A2" s="313" t="s">
        <v>0</v>
      </c>
      <c r="B2" s="313" t="s">
        <v>1</v>
      </c>
      <c r="C2" s="314" t="s">
        <v>2</v>
      </c>
      <c r="D2" s="315" t="s">
        <v>3</v>
      </c>
      <c r="E2" s="315"/>
      <c r="F2" s="315"/>
      <c r="G2" s="315" t="s">
        <v>7</v>
      </c>
      <c r="H2" s="315"/>
      <c r="I2" s="315"/>
      <c r="J2" s="315"/>
      <c r="K2" s="315" t="s">
        <v>9</v>
      </c>
      <c r="L2" s="315"/>
      <c r="M2" s="315"/>
      <c r="N2" s="315"/>
      <c r="O2" s="315" t="s">
        <v>10</v>
      </c>
      <c r="P2" s="315"/>
      <c r="Q2" s="315"/>
      <c r="R2" s="315"/>
    </row>
    <row r="3" spans="1:18" ht="14.25" customHeight="1">
      <c r="A3" s="313"/>
      <c r="B3" s="313"/>
      <c r="C3" s="314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100999.35</v>
      </c>
      <c r="E4" s="59">
        <f>SUM(E7)</f>
        <v>0</v>
      </c>
      <c r="F4" s="59">
        <f>SUM(F7)</f>
        <v>100999.35</v>
      </c>
      <c r="G4" s="61">
        <f>I4+J4</f>
        <v>99940.65000000001</v>
      </c>
      <c r="H4" s="61">
        <f>G4*100/D4</f>
        <v>98.95177543221813</v>
      </c>
      <c r="I4" s="59">
        <f>SUM(I7)</f>
        <v>0</v>
      </c>
      <c r="J4" s="59">
        <f>SUM(J7)</f>
        <v>99940.65000000001</v>
      </c>
      <c r="K4" s="61">
        <f>M4+N4</f>
        <v>-3.623767952376511E-13</v>
      </c>
      <c r="L4" s="61">
        <f>K4*100/D4</f>
        <v>-3.587912152282674E-16</v>
      </c>
      <c r="M4" s="59">
        <f>SUM(M7)</f>
        <v>0</v>
      </c>
      <c r="N4" s="59">
        <f>SUM(N7)</f>
        <v>-3.623767952376511E-13</v>
      </c>
      <c r="O4" s="59">
        <f>Q4+R4</f>
        <v>1058.6999999999975</v>
      </c>
      <c r="P4" s="59">
        <f>O4*100/D4</f>
        <v>1.0482245677818693</v>
      </c>
      <c r="Q4" s="59">
        <f>SUM(Q7)</f>
        <v>0</v>
      </c>
      <c r="R4" s="59">
        <f>SUM(R7)</f>
        <v>1058.6999999999975</v>
      </c>
    </row>
    <row r="5" spans="1:19" ht="20.25" customHeight="1">
      <c r="A5" s="76">
        <v>2</v>
      </c>
      <c r="B5" s="117" t="s">
        <v>158</v>
      </c>
      <c r="C5" s="81"/>
      <c r="D5" s="82"/>
      <c r="E5" s="83"/>
      <c r="F5" s="82"/>
      <c r="G5" s="84"/>
      <c r="H5" s="85"/>
      <c r="I5" s="84"/>
      <c r="J5" s="86"/>
      <c r="K5" s="84"/>
      <c r="L5" s="85"/>
      <c r="M5" s="84"/>
      <c r="N5" s="84"/>
      <c r="O5" s="84"/>
      <c r="P5" s="85"/>
      <c r="Q5" s="84"/>
      <c r="R5" s="84"/>
      <c r="S5" s="118"/>
    </row>
    <row r="6" spans="1:18" ht="17.25" customHeight="1">
      <c r="A6" s="76"/>
      <c r="B6" s="44" t="s">
        <v>141</v>
      </c>
      <c r="C6" s="81"/>
      <c r="D6" s="82"/>
      <c r="E6" s="83"/>
      <c r="F6" s="82"/>
      <c r="G6" s="84"/>
      <c r="H6" s="86"/>
      <c r="I6" s="84"/>
      <c r="J6" s="86"/>
      <c r="K6" s="84"/>
      <c r="L6" s="86"/>
      <c r="M6" s="84"/>
      <c r="N6" s="84"/>
      <c r="O6" s="84"/>
      <c r="P6" s="86"/>
      <c r="Q6" s="84"/>
      <c r="R6" s="84"/>
    </row>
    <row r="7" spans="1:18" ht="17.25" customHeight="1">
      <c r="A7" s="2">
        <v>1.25</v>
      </c>
      <c r="B7" s="3" t="s">
        <v>137</v>
      </c>
      <c r="C7" s="95" t="s">
        <v>139</v>
      </c>
      <c r="D7" s="96">
        <f>F7+E7</f>
        <v>100999.35</v>
      </c>
      <c r="E7" s="97"/>
      <c r="F7" s="96">
        <v>100999.35</v>
      </c>
      <c r="G7" s="98">
        <f>I7+J7</f>
        <v>99940.65000000001</v>
      </c>
      <c r="H7" s="98">
        <f>G7*100/D7</f>
        <v>98.95177543221813</v>
      </c>
      <c r="I7" s="98"/>
      <c r="J7" s="98">
        <f>94332.55+5608.1</f>
        <v>99940.65000000001</v>
      </c>
      <c r="K7" s="98">
        <f>M7+N7</f>
        <v>-3.623767952376511E-13</v>
      </c>
      <c r="L7" s="98">
        <f>K7*100/D7</f>
        <v>-3.587912152282674E-16</v>
      </c>
      <c r="M7" s="98"/>
      <c r="N7" s="98">
        <f>5631.5-5608.1-23.4</f>
        <v>-3.623767952376511E-13</v>
      </c>
      <c r="O7" s="98">
        <f>D7-G7-K7</f>
        <v>1058.6999999999975</v>
      </c>
      <c r="P7" s="98">
        <f>O7*100/D7</f>
        <v>1.0482245677818693</v>
      </c>
      <c r="Q7" s="98">
        <f>E7-I7-M7</f>
        <v>0</v>
      </c>
      <c r="R7" s="98">
        <f>F7-J7-N7</f>
        <v>1058.6999999999975</v>
      </c>
    </row>
    <row r="8" spans="1:18" ht="17.25" customHeight="1">
      <c r="A8" s="20"/>
      <c r="B8" s="19" t="s">
        <v>138</v>
      </c>
      <c r="C8" s="115" t="s">
        <v>153</v>
      </c>
      <c r="D8" s="91"/>
      <c r="E8" s="92"/>
      <c r="F8" s="91"/>
      <c r="G8" s="93"/>
      <c r="H8" s="94"/>
      <c r="I8" s="93"/>
      <c r="J8" s="94"/>
      <c r="K8" s="93"/>
      <c r="L8" s="94"/>
      <c r="M8" s="93"/>
      <c r="N8" s="93"/>
      <c r="O8" s="93"/>
      <c r="P8" s="94"/>
      <c r="Q8" s="93"/>
      <c r="R8" s="93"/>
    </row>
    <row r="10" ht="18">
      <c r="B10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312" t="s">
        <v>326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5.75" customHeight="1">
      <c r="A2" s="313" t="s">
        <v>0</v>
      </c>
      <c r="B2" s="313" t="s">
        <v>1</v>
      </c>
      <c r="C2" s="314" t="s">
        <v>2</v>
      </c>
      <c r="D2" s="315" t="s">
        <v>3</v>
      </c>
      <c r="E2" s="315"/>
      <c r="F2" s="315"/>
      <c r="G2" s="315" t="s">
        <v>7</v>
      </c>
      <c r="H2" s="315"/>
      <c r="I2" s="315"/>
      <c r="J2" s="315"/>
      <c r="K2" s="315" t="s">
        <v>9</v>
      </c>
      <c r="L2" s="315"/>
      <c r="M2" s="315"/>
      <c r="N2" s="315"/>
      <c r="O2" s="315" t="s">
        <v>10</v>
      </c>
      <c r="P2" s="315"/>
      <c r="Q2" s="315"/>
      <c r="R2" s="315"/>
    </row>
    <row r="3" spans="1:18" ht="14.25" customHeight="1">
      <c r="A3" s="313"/>
      <c r="B3" s="313"/>
      <c r="C3" s="314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8" customHeight="1">
      <c r="A4" s="14"/>
      <c r="B4" s="21" t="s">
        <v>195</v>
      </c>
      <c r="C4" s="15"/>
      <c r="D4" s="140">
        <f>E4+F4</f>
        <v>6845000</v>
      </c>
      <c r="E4" s="141">
        <f>SUM(E7+E9+E12+E15+E17)</f>
        <v>952000</v>
      </c>
      <c r="F4" s="141">
        <f>SUM(F30+F44)</f>
        <v>5893000</v>
      </c>
      <c r="G4" s="142">
        <f>I4+J4</f>
        <v>6798038.73</v>
      </c>
      <c r="H4" s="142">
        <f>G4*100/D4</f>
        <v>99.31393323593863</v>
      </c>
      <c r="I4" s="141">
        <f>SUM(I7+I9+I12+I15+I17)</f>
        <v>910022.74</v>
      </c>
      <c r="J4" s="141">
        <f>SUM(J30+J44)</f>
        <v>5888015.99</v>
      </c>
      <c r="K4" s="142">
        <f>M4+N4</f>
        <v>-1.9272805573677942E-11</v>
      </c>
      <c r="L4" s="142">
        <f>K4*100/D4</f>
        <v>-2.8156034439266533E-16</v>
      </c>
      <c r="M4" s="141">
        <f>SUM(M7+M9+M12+M15+M17)</f>
        <v>0</v>
      </c>
      <c r="N4" s="141">
        <f>SUM(N30+N44)</f>
        <v>-1.9272805573677942E-11</v>
      </c>
      <c r="O4" s="173">
        <f>Q4+R4</f>
        <v>46961.26999999994</v>
      </c>
      <c r="P4" s="173">
        <f>O4*100/D4</f>
        <v>0.6860667640613577</v>
      </c>
      <c r="Q4" s="173">
        <f>SUM(Q7+Q9+Q12+Q15+Q17)</f>
        <v>41977.26000000001</v>
      </c>
      <c r="R4" s="173">
        <f>SUM(R30+R44)</f>
        <v>4984.009999999927</v>
      </c>
    </row>
    <row r="5" spans="1:18" ht="18" customHeight="1">
      <c r="A5" s="76">
        <v>1</v>
      </c>
      <c r="B5" s="134" t="s">
        <v>170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6.5" customHeight="1">
      <c r="A6" s="2"/>
      <c r="B6" s="5" t="s">
        <v>180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7.25" customHeight="1">
      <c r="A7" s="2">
        <v>1.1</v>
      </c>
      <c r="B7" s="3" t="s">
        <v>171</v>
      </c>
      <c r="C7" s="135" t="s">
        <v>169</v>
      </c>
      <c r="D7" s="144">
        <f>F7+E7</f>
        <v>950000</v>
      </c>
      <c r="E7" s="145"/>
      <c r="F7" s="144">
        <v>950000</v>
      </c>
      <c r="G7" s="146">
        <f>I7+J7</f>
        <v>949775.14</v>
      </c>
      <c r="H7" s="146">
        <f>G7*100/D7</f>
        <v>99.97633052631579</v>
      </c>
      <c r="I7" s="146"/>
      <c r="J7" s="146">
        <f>27400+31571.4+70770+66419.1+51019.19+84450+14819.85+92742.3+76320+55854+39920+29021.4+8000.9+18000+20000+89997+157370+16100</f>
        <v>949775.14</v>
      </c>
      <c r="K7" s="146">
        <f>M7+N7</f>
        <v>0</v>
      </c>
      <c r="L7" s="146">
        <f>K7*100/D7</f>
        <v>0</v>
      </c>
      <c r="M7" s="146"/>
      <c r="N7" s="146"/>
      <c r="O7" s="146">
        <f>D7-G7-K7</f>
        <v>224.85999999998603</v>
      </c>
      <c r="P7" s="146">
        <f>O7*100/D7</f>
        <v>0.023669473684209057</v>
      </c>
      <c r="Q7" s="146">
        <f>E7-I7-M7</f>
        <v>0</v>
      </c>
      <c r="R7" s="146">
        <f>F7-J7-N7</f>
        <v>224.85999999998603</v>
      </c>
    </row>
    <row r="8" spans="1:18" ht="19.5" customHeight="1">
      <c r="A8" s="2"/>
      <c r="B8" s="5" t="s">
        <v>179</v>
      </c>
      <c r="C8" s="135"/>
      <c r="D8" s="144"/>
      <c r="E8" s="145"/>
      <c r="F8" s="144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ht="16.5" customHeight="1">
      <c r="A9" s="2">
        <v>1.2</v>
      </c>
      <c r="B9" s="3" t="s">
        <v>172</v>
      </c>
      <c r="C9" s="135" t="s">
        <v>169</v>
      </c>
      <c r="D9" s="144">
        <f>F9+E9</f>
        <v>600000</v>
      </c>
      <c r="E9" s="145"/>
      <c r="F9" s="144">
        <v>600000</v>
      </c>
      <c r="G9" s="146">
        <f>I9+J9</f>
        <v>599982.73</v>
      </c>
      <c r="H9" s="174">
        <f>G9*100/D9</f>
        <v>99.99712166666667</v>
      </c>
      <c r="I9" s="146"/>
      <c r="J9" s="146">
        <f>3313+47180+20993.05+47380+28390.5+8679+46780+12010.8+47129.5+58050.8+25972+29028.8+99800+84760+40515.28</f>
        <v>599982.73</v>
      </c>
      <c r="K9" s="146">
        <f>M9+N9</f>
        <v>0</v>
      </c>
      <c r="L9" s="146">
        <f>K9*100/D9</f>
        <v>0</v>
      </c>
      <c r="M9" s="146"/>
      <c r="N9" s="146">
        <f>2400+9610.8+29028.8-12010.8-29028.8</f>
        <v>0</v>
      </c>
      <c r="O9" s="146">
        <f>D9-G9-K9</f>
        <v>17.270000000018626</v>
      </c>
      <c r="P9" s="146">
        <f>O9*100/D9</f>
        <v>0.0028783333333364377</v>
      </c>
      <c r="Q9" s="146">
        <f>E9-I9-M9</f>
        <v>0</v>
      </c>
      <c r="R9" s="146">
        <f>F9-J9-N9</f>
        <v>17.270000000018626</v>
      </c>
    </row>
    <row r="10" spans="1:18" ht="16.5" customHeight="1">
      <c r="A10" s="7"/>
      <c r="B10" s="8" t="s">
        <v>173</v>
      </c>
      <c r="C10" s="8"/>
      <c r="D10" s="9"/>
      <c r="E10" s="8"/>
      <c r="F10" s="9"/>
      <c r="G10" s="8"/>
      <c r="H10" s="8"/>
      <c r="I10" s="8"/>
      <c r="J10" s="6"/>
      <c r="K10" s="8"/>
      <c r="L10" s="8"/>
      <c r="M10" s="8"/>
      <c r="N10" s="8"/>
      <c r="O10" s="8"/>
      <c r="P10" s="8"/>
      <c r="Q10" s="8"/>
      <c r="R10" s="8"/>
    </row>
    <row r="11" spans="1:18" ht="16.5" customHeight="1">
      <c r="A11" s="7"/>
      <c r="B11" s="5" t="s">
        <v>178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>
        <v>1.3</v>
      </c>
      <c r="B12" s="8" t="s">
        <v>174</v>
      </c>
      <c r="C12" s="135" t="s">
        <v>169</v>
      </c>
      <c r="D12" s="144">
        <f>F12+E12</f>
        <v>300000</v>
      </c>
      <c r="E12" s="145"/>
      <c r="F12" s="144">
        <v>300000</v>
      </c>
      <c r="G12" s="146">
        <f>I12+J12</f>
        <v>299238.25</v>
      </c>
      <c r="H12" s="146">
        <f>G12*100/D12</f>
        <v>99.74608333333333</v>
      </c>
      <c r="I12" s="146"/>
      <c r="J12" s="146">
        <f>4125+34399.5+99489+3439.95+46371.15+6624.45+21025.2+10458+73306</f>
        <v>299238.25</v>
      </c>
      <c r="K12" s="146">
        <f>M12+N12</f>
        <v>0</v>
      </c>
      <c r="L12" s="146">
        <f>K12*100/D12</f>
        <v>0</v>
      </c>
      <c r="M12" s="146"/>
      <c r="N12" s="146"/>
      <c r="O12" s="146">
        <f>D12-G12-K12</f>
        <v>761.75</v>
      </c>
      <c r="P12" s="146">
        <f>O12*100/D12</f>
        <v>0.2539166666666667</v>
      </c>
      <c r="Q12" s="146">
        <f>E12-I12-M12</f>
        <v>0</v>
      </c>
      <c r="R12" s="146">
        <f>F12-J12-N12</f>
        <v>761.75</v>
      </c>
    </row>
    <row r="13" spans="1:18" ht="16.5" customHeight="1">
      <c r="A13" s="7"/>
      <c r="B13" s="8" t="s">
        <v>19</v>
      </c>
      <c r="C13" s="8"/>
      <c r="D13" s="9"/>
      <c r="E13" s="8"/>
      <c r="F13" s="9"/>
      <c r="G13" s="8"/>
      <c r="H13" s="8"/>
      <c r="I13" s="8"/>
      <c r="J13" s="6"/>
      <c r="K13" s="8"/>
      <c r="L13" s="8"/>
      <c r="M13" s="8"/>
      <c r="N13" s="8"/>
      <c r="O13" s="8"/>
      <c r="P13" s="8"/>
      <c r="Q13" s="8"/>
      <c r="R13" s="8"/>
    </row>
    <row r="14" spans="1:18" ht="18.75" customHeight="1">
      <c r="A14" s="7"/>
      <c r="B14" s="5" t="s">
        <v>177</v>
      </c>
      <c r="C14" s="8"/>
      <c r="D14" s="9"/>
      <c r="E14" s="8"/>
      <c r="F14" s="9"/>
      <c r="G14" s="8"/>
      <c r="H14" s="8"/>
      <c r="I14" s="8"/>
      <c r="J14" s="6"/>
      <c r="K14" s="8"/>
      <c r="L14" s="8"/>
      <c r="M14" s="8"/>
      <c r="N14" s="8"/>
      <c r="O14" s="8"/>
      <c r="P14" s="8"/>
      <c r="Q14" s="8"/>
      <c r="R14" s="8"/>
    </row>
    <row r="15" spans="1:18" ht="18.75" customHeight="1">
      <c r="A15" s="7">
        <v>1.4</v>
      </c>
      <c r="B15" s="8" t="s">
        <v>175</v>
      </c>
      <c r="C15" s="135" t="s">
        <v>169</v>
      </c>
      <c r="D15" s="144">
        <f>F15+E15</f>
        <v>970000</v>
      </c>
      <c r="E15" s="145"/>
      <c r="F15" s="144">
        <v>970000</v>
      </c>
      <c r="G15" s="146">
        <f>I15+J15</f>
        <v>969879.54</v>
      </c>
      <c r="H15" s="146">
        <f>G15*100/D15</f>
        <v>99.98758144329896</v>
      </c>
      <c r="I15" s="146"/>
      <c r="J15" s="146">
        <f>77516.1+136351.2+44821+3439.95+5043+108249.3+6624.45+12045+257128.81+114000+29100+16279+43538.1+10633+3750.4+8000.9+84735+8624.33</f>
        <v>969879.54</v>
      </c>
      <c r="K15" s="146">
        <f>M15+N15</f>
        <v>-2.7000623958883807E-13</v>
      </c>
      <c r="L15" s="146">
        <f>K15*100/D15</f>
        <v>-2.7835694802972995E-17</v>
      </c>
      <c r="M15" s="146"/>
      <c r="N15" s="146">
        <f>6000+3000+7000-12045-97.3-3750.4-45.5-61.8</f>
        <v>-2.7000623958883807E-13</v>
      </c>
      <c r="O15" s="146">
        <f>D15-G15-K15</f>
        <v>120.45999999996302</v>
      </c>
      <c r="P15" s="146">
        <f>O15*100/D15</f>
        <v>0.012418556701027116</v>
      </c>
      <c r="Q15" s="146">
        <f>E15-I15-M15</f>
        <v>0</v>
      </c>
      <c r="R15" s="146">
        <f>F15-J15-N15</f>
        <v>120.45999999996302</v>
      </c>
    </row>
    <row r="16" spans="1:18" ht="18.75" customHeight="1">
      <c r="A16" s="7"/>
      <c r="B16" s="5" t="s">
        <v>181</v>
      </c>
      <c r="C16" s="135"/>
      <c r="D16" s="144"/>
      <c r="E16" s="145"/>
      <c r="F16" s="144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ht="16.5" customHeight="1">
      <c r="A17" s="7">
        <v>1.5</v>
      </c>
      <c r="B17" s="8" t="s">
        <v>176</v>
      </c>
      <c r="C17" s="135" t="s">
        <v>169</v>
      </c>
      <c r="D17" s="144">
        <f>F17+E17</f>
        <v>980000</v>
      </c>
      <c r="E17" s="145">
        <v>952000</v>
      </c>
      <c r="F17" s="144">
        <v>28000</v>
      </c>
      <c r="G17" s="146">
        <f>I17+J17</f>
        <v>937100.74</v>
      </c>
      <c r="H17" s="146">
        <f>G17*100/D17</f>
        <v>95.62252448979592</v>
      </c>
      <c r="I17" s="146">
        <f>910022.74</f>
        <v>910022.74</v>
      </c>
      <c r="J17" s="146">
        <f>8680+4538+13860</f>
        <v>27078</v>
      </c>
      <c r="K17" s="146">
        <f>M17+N17</f>
        <v>0</v>
      </c>
      <c r="L17" s="174">
        <f>K17*100/D17</f>
        <v>0</v>
      </c>
      <c r="M17" s="146"/>
      <c r="N17" s="146">
        <f>20020+2520-8680-13860</f>
        <v>0</v>
      </c>
      <c r="O17" s="146">
        <f>D17-G17-K17</f>
        <v>42899.26000000001</v>
      </c>
      <c r="P17" s="146">
        <f>O17*100/D17</f>
        <v>4.377475510204083</v>
      </c>
      <c r="Q17" s="146">
        <f>E17-I17-M17</f>
        <v>41977.26000000001</v>
      </c>
      <c r="R17" s="146">
        <f>F17-J17-N17</f>
        <v>922</v>
      </c>
    </row>
    <row r="18" spans="1:18" ht="18" customHeight="1">
      <c r="A18" s="7"/>
      <c r="B18" s="5" t="s">
        <v>316</v>
      </c>
      <c r="C18" s="135"/>
      <c r="D18" s="144"/>
      <c r="E18" s="145"/>
      <c r="F18" s="144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ht="16.5" customHeight="1">
      <c r="A19" s="7">
        <v>1.6</v>
      </c>
      <c r="B19" s="45" t="s">
        <v>182</v>
      </c>
      <c r="C19" s="135" t="s">
        <v>277</v>
      </c>
      <c r="D19" s="144">
        <f>F19+E19</f>
        <v>100000</v>
      </c>
      <c r="E19" s="145"/>
      <c r="F19" s="144">
        <v>100000</v>
      </c>
      <c r="G19" s="146">
        <f>I19+J19</f>
        <v>99843.59999999999</v>
      </c>
      <c r="H19" s="146">
        <f>G19*100/D19</f>
        <v>99.8436</v>
      </c>
      <c r="I19" s="146"/>
      <c r="J19" s="146">
        <f>3439.95+37223.1+9779+9894.55+4160+720+19850+14777</f>
        <v>99843.59999999999</v>
      </c>
      <c r="K19" s="146">
        <f>M19+N19</f>
        <v>0</v>
      </c>
      <c r="L19" s="146">
        <f>K19*100/D19</f>
        <v>0</v>
      </c>
      <c r="M19" s="146"/>
      <c r="N19" s="146"/>
      <c r="O19" s="146">
        <f>D19-G19-K19</f>
        <v>156.40000000000873</v>
      </c>
      <c r="P19" s="146">
        <f>O19*100/D19</f>
        <v>0.15640000000000873</v>
      </c>
      <c r="Q19" s="146">
        <f>E19-I19-M19</f>
        <v>0</v>
      </c>
      <c r="R19" s="146">
        <f>F19-J19-N19</f>
        <v>156.40000000000873</v>
      </c>
    </row>
    <row r="20" spans="1:18" ht="16.5" customHeight="1">
      <c r="A20" s="7"/>
      <c r="B20" s="45" t="s">
        <v>269</v>
      </c>
      <c r="C20" s="135"/>
      <c r="D20" s="144"/>
      <c r="E20" s="145"/>
      <c r="F20" s="144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  <row r="21" spans="1:18" ht="18.75" customHeight="1">
      <c r="A21" s="7"/>
      <c r="B21" s="5" t="s">
        <v>315</v>
      </c>
      <c r="C21" s="135"/>
      <c r="D21" s="144"/>
      <c r="E21" s="145"/>
      <c r="F21" s="14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ht="16.5" customHeight="1">
      <c r="A22" s="7">
        <v>1.7</v>
      </c>
      <c r="B22" s="45" t="s">
        <v>183</v>
      </c>
      <c r="C22" s="135" t="s">
        <v>277</v>
      </c>
      <c r="D22" s="144">
        <f>F22+E22</f>
        <v>600000</v>
      </c>
      <c r="E22" s="145"/>
      <c r="F22" s="144">
        <v>600000</v>
      </c>
      <c r="G22" s="146">
        <f>I22+J22</f>
        <v>599584.8200000001</v>
      </c>
      <c r="H22" s="146">
        <f>G22*100/D22</f>
        <v>99.93080333333334</v>
      </c>
      <c r="I22" s="146"/>
      <c r="J22" s="146">
        <f>70770+30959.55+11881+7658.52+19937+183792+90063+33803.1+13500+12098.6+17150+29120+8450+31659.65+3750.4+16362+18630</f>
        <v>599584.8200000001</v>
      </c>
      <c r="K22" s="146">
        <f>M22+N22</f>
        <v>-1.1795009413617663E-12</v>
      </c>
      <c r="L22" s="146">
        <f>K22*100/D22</f>
        <v>-1.9658349022696105E-16</v>
      </c>
      <c r="M22" s="146"/>
      <c r="N22" s="146">
        <f>8910.8+7000-12098.6-3750.4-61.8</f>
        <v>-1.1795009413617663E-12</v>
      </c>
      <c r="O22" s="146">
        <f>D22-G22-K22</f>
        <v>415.179999999936</v>
      </c>
      <c r="P22" s="146">
        <f>O22*100/D22</f>
        <v>0.069196666666656</v>
      </c>
      <c r="Q22" s="146">
        <f>E22-I22-M22</f>
        <v>0</v>
      </c>
      <c r="R22" s="146">
        <f>F22-J22-N22</f>
        <v>415.179999999936</v>
      </c>
    </row>
    <row r="23" spans="1:18" ht="16.5" customHeight="1">
      <c r="A23" s="7"/>
      <c r="B23" s="45" t="s">
        <v>270</v>
      </c>
      <c r="C23" s="135"/>
      <c r="D23" s="144"/>
      <c r="E23" s="145"/>
      <c r="F23" s="144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ht="18" customHeight="1">
      <c r="A24" s="7"/>
      <c r="B24" s="5" t="s">
        <v>317</v>
      </c>
      <c r="C24" s="135"/>
      <c r="D24" s="144"/>
      <c r="E24" s="145"/>
      <c r="F24" s="14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ht="16.5" customHeight="1">
      <c r="A25" s="7">
        <v>1.8</v>
      </c>
      <c r="B25" s="45" t="s">
        <v>184</v>
      </c>
      <c r="C25" s="135" t="s">
        <v>277</v>
      </c>
      <c r="D25" s="144">
        <f>F25+E25</f>
        <v>500000</v>
      </c>
      <c r="E25" s="145"/>
      <c r="F25" s="144">
        <v>500000</v>
      </c>
      <c r="G25" s="146">
        <f>I25+J25</f>
        <v>499193.56</v>
      </c>
      <c r="H25" s="146">
        <f>G25*100/D25</f>
        <v>99.838712</v>
      </c>
      <c r="I25" s="146"/>
      <c r="J25" s="146">
        <f>24079.65+67389.56+59628+79959+59620.05+53388+40443.2+25959+6900+65307.15+7256.35+5103.6+4160</f>
        <v>499193.56</v>
      </c>
      <c r="K25" s="146">
        <f>M25+N25</f>
        <v>1.0913492332065289E-12</v>
      </c>
      <c r="L25" s="146">
        <f>K25*100/D25</f>
        <v>2.1826984664130577E-16</v>
      </c>
      <c r="M25" s="146"/>
      <c r="N25" s="146">
        <f>2400+39243.2+3905.4-40443.2-5103.6-1.8</f>
        <v>1.0913492332065289E-12</v>
      </c>
      <c r="O25" s="146">
        <f>D25-G25-K25</f>
        <v>806.4400000000012</v>
      </c>
      <c r="P25" s="146">
        <f>O25*100/D25</f>
        <v>0.16128800000000024</v>
      </c>
      <c r="Q25" s="146">
        <f>E25-I25-M25</f>
        <v>0</v>
      </c>
      <c r="R25" s="146">
        <f>F25-J25-N25</f>
        <v>806.4400000000012</v>
      </c>
    </row>
    <row r="26" spans="1:18" ht="16.5" customHeight="1">
      <c r="A26" s="7"/>
      <c r="B26" s="45" t="s">
        <v>270</v>
      </c>
      <c r="C26" s="135"/>
      <c r="D26" s="144"/>
      <c r="E26" s="145"/>
      <c r="F26" s="144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</row>
    <row r="27" spans="1:18" ht="18" customHeight="1">
      <c r="A27" s="7"/>
      <c r="B27" s="5" t="s">
        <v>318</v>
      </c>
      <c r="C27" s="135"/>
      <c r="D27" s="144"/>
      <c r="E27" s="145"/>
      <c r="F27" s="144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ht="16.5" customHeight="1">
      <c r="A28" s="7">
        <v>1.9</v>
      </c>
      <c r="B28" s="45" t="s">
        <v>271</v>
      </c>
      <c r="C28" s="135" t="s">
        <v>277</v>
      </c>
      <c r="D28" s="144">
        <f>F28+E28</f>
        <v>245000</v>
      </c>
      <c r="E28" s="145"/>
      <c r="F28" s="144">
        <v>245000</v>
      </c>
      <c r="G28" s="146">
        <f>I28+J28</f>
        <v>244229.43</v>
      </c>
      <c r="H28" s="146">
        <f>G28*100/D28</f>
        <v>99.68548163265307</v>
      </c>
      <c r="I28" s="146"/>
      <c r="J28" s="146">
        <f>27519.6+51480.63+46371.15+82460+1200+21769.05+7240+3610+2579</f>
        <v>244229.43</v>
      </c>
      <c r="K28" s="146">
        <f>M28+N28</f>
        <v>0</v>
      </c>
      <c r="L28" s="146">
        <f>K28*100/D28</f>
        <v>0</v>
      </c>
      <c r="M28" s="146"/>
      <c r="N28" s="146"/>
      <c r="O28" s="146">
        <f>D28-G28-K28</f>
        <v>770.570000000007</v>
      </c>
      <c r="P28" s="146">
        <f>O28*100/D28</f>
        <v>0.3145183673469416</v>
      </c>
      <c r="Q28" s="146">
        <f>E28-I28-M28</f>
        <v>0</v>
      </c>
      <c r="R28" s="146">
        <f>F28-J28-N28</f>
        <v>770.570000000007</v>
      </c>
    </row>
    <row r="29" spans="1:18" ht="16.5" customHeight="1">
      <c r="A29" s="7"/>
      <c r="B29" s="45" t="s">
        <v>272</v>
      </c>
      <c r="C29" s="152"/>
      <c r="D29" s="153"/>
      <c r="E29" s="154"/>
      <c r="F29" s="153"/>
      <c r="G29" s="155"/>
      <c r="H29" s="138"/>
      <c r="I29" s="155"/>
      <c r="J29" s="155"/>
      <c r="K29" s="155"/>
      <c r="L29" s="155"/>
      <c r="M29" s="155"/>
      <c r="N29" s="155"/>
      <c r="O29" s="138"/>
      <c r="P29" s="138"/>
      <c r="Q29" s="155"/>
      <c r="R29" s="155"/>
    </row>
    <row r="30" spans="1:18" ht="19.5" customHeight="1">
      <c r="A30" s="7"/>
      <c r="B30" s="56" t="s">
        <v>186</v>
      </c>
      <c r="C30" s="99"/>
      <c r="D30" s="100">
        <f>F30+E30</f>
        <v>5245000</v>
      </c>
      <c r="E30" s="101">
        <f>E17</f>
        <v>952000</v>
      </c>
      <c r="F30" s="100">
        <f>F7+F9+F12+F15+F17+F19+F22+F25+F28</f>
        <v>4293000</v>
      </c>
      <c r="G30" s="102">
        <f>J30+I30</f>
        <v>5198827.8100000005</v>
      </c>
      <c r="H30" s="130">
        <f>G30*100/D30</f>
        <v>99.11969132507151</v>
      </c>
      <c r="I30" s="102">
        <f>I17</f>
        <v>910022.74</v>
      </c>
      <c r="J30" s="103">
        <f>J7+J9+J12+J15+J17+J19+J22+J25+J28</f>
        <v>4288805.07</v>
      </c>
      <c r="K30" s="102">
        <f>N30+M30</f>
        <v>-3.581579477440755E-13</v>
      </c>
      <c r="L30" s="104"/>
      <c r="M30" s="102">
        <f>M17</f>
        <v>0</v>
      </c>
      <c r="N30" s="102">
        <f>N7+N9+N12+N15+N17+N19+N22+N25+N28</f>
        <v>-3.581579477440755E-13</v>
      </c>
      <c r="O30" s="98">
        <f>D30-G30-K30</f>
        <v>46172.18999999948</v>
      </c>
      <c r="P30" s="98">
        <f>O30*100/D30</f>
        <v>0.8803086749284934</v>
      </c>
      <c r="Q30" s="102">
        <f>Q18+Q22+Q27</f>
        <v>0</v>
      </c>
      <c r="R30" s="102">
        <f>R7+R9+R12+R15+R17+R19+R22+R25+R28</f>
        <v>4194.92999999992</v>
      </c>
    </row>
    <row r="31" spans="1:18" ht="16.5" customHeight="1">
      <c r="A31" s="7"/>
      <c r="B31" s="5" t="s">
        <v>319</v>
      </c>
      <c r="C31" s="135"/>
      <c r="D31" s="136"/>
      <c r="E31" s="137"/>
      <c r="F31" s="136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ht="16.5" customHeight="1">
      <c r="A32" s="139" t="s">
        <v>189</v>
      </c>
      <c r="B32" s="45" t="s">
        <v>191</v>
      </c>
      <c r="C32" s="135" t="s">
        <v>277</v>
      </c>
      <c r="D32" s="144">
        <f>F32+E32</f>
        <v>700000</v>
      </c>
      <c r="E32" s="145"/>
      <c r="F32" s="144">
        <v>700000</v>
      </c>
      <c r="G32" s="146">
        <f>I32+J32</f>
        <v>699704.11</v>
      </c>
      <c r="H32" s="146">
        <f>G32*100/D32</f>
        <v>99.95773</v>
      </c>
      <c r="I32" s="146"/>
      <c r="J32" s="146">
        <f>34399.5+96360+112615.65+13248.9+124922.4+15989.01+136923.3+134837.7+30407.65</f>
        <v>699704.11</v>
      </c>
      <c r="K32" s="146">
        <f>M32+N32</f>
        <v>-1.745092959026806E-11</v>
      </c>
      <c r="L32" s="146">
        <f>K32*100/D32</f>
        <v>-2.492989941466866E-15</v>
      </c>
      <c r="M32" s="146"/>
      <c r="N32" s="146">
        <f>255244.8+4800-124922.4-134837.7-284.7</f>
        <v>-1.745092959026806E-11</v>
      </c>
      <c r="O32" s="146">
        <f>D32-G32-K32</f>
        <v>295.8900000000314</v>
      </c>
      <c r="P32" s="146">
        <f>O32*100/D32</f>
        <v>0.04227000000000449</v>
      </c>
      <c r="Q32" s="146">
        <f>E32-I32-M32</f>
        <v>0</v>
      </c>
      <c r="R32" s="146">
        <f>F32-J32-N32</f>
        <v>295.8900000000314</v>
      </c>
    </row>
    <row r="33" spans="1:18" ht="16.5" customHeight="1">
      <c r="A33" s="7"/>
      <c r="B33" s="8" t="s">
        <v>273</v>
      </c>
      <c r="C33" s="8"/>
      <c r="D33" s="9"/>
      <c r="E33" s="8"/>
      <c r="F33" s="9"/>
      <c r="G33" s="8"/>
      <c r="H33" s="8"/>
      <c r="I33" s="8"/>
      <c r="J33" s="6"/>
      <c r="K33" s="8"/>
      <c r="L33" s="8"/>
      <c r="M33" s="8"/>
      <c r="N33" s="8"/>
      <c r="O33" s="8"/>
      <c r="P33" s="8"/>
      <c r="Q33" s="8"/>
      <c r="R33" s="8"/>
    </row>
    <row r="34" spans="1:18" ht="16.5" customHeight="1">
      <c r="A34" s="20"/>
      <c r="B34" s="19" t="s">
        <v>274</v>
      </c>
      <c r="C34" s="19"/>
      <c r="D34" s="149"/>
      <c r="E34" s="19"/>
      <c r="F34" s="149"/>
      <c r="G34" s="19"/>
      <c r="H34" s="19"/>
      <c r="I34" s="19"/>
      <c r="J34" s="150"/>
      <c r="K34" s="19"/>
      <c r="L34" s="19"/>
      <c r="M34" s="19"/>
      <c r="N34" s="19"/>
      <c r="O34" s="19"/>
      <c r="P34" s="19"/>
      <c r="Q34" s="19"/>
      <c r="R34" s="19"/>
    </row>
    <row r="35" spans="1:19" ht="16.5" customHeight="1">
      <c r="A35" s="46"/>
      <c r="B35" s="44" t="s">
        <v>320</v>
      </c>
      <c r="C35" s="156"/>
      <c r="D35" s="170"/>
      <c r="E35" s="171"/>
      <c r="F35" s="170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">
        <v>2</v>
      </c>
    </row>
    <row r="36" spans="1:18" ht="16.5" customHeight="1">
      <c r="A36" s="139" t="s">
        <v>192</v>
      </c>
      <c r="B36" s="45" t="s">
        <v>193</v>
      </c>
      <c r="C36" s="135" t="s">
        <v>277</v>
      </c>
      <c r="D36" s="144">
        <f>F36+E36</f>
        <v>400000</v>
      </c>
      <c r="E36" s="145"/>
      <c r="F36" s="144">
        <v>400000</v>
      </c>
      <c r="G36" s="146">
        <f>I36+J36</f>
        <v>399719.85000000003</v>
      </c>
      <c r="H36" s="146">
        <f>G36*100/D36</f>
        <v>99.9299625</v>
      </c>
      <c r="I36" s="146"/>
      <c r="J36" s="146">
        <f>10319.85+26600+66925.35+62045.4+73308.05+73272.4+55524.39+12010+1779.41+17935</f>
        <v>399719.85000000003</v>
      </c>
      <c r="K36" s="146">
        <f>M36+N36</f>
        <v>5.8122395785176195E-12</v>
      </c>
      <c r="L36" s="146">
        <f>K36*100/D36</f>
        <v>1.4530598946294048E-15</v>
      </c>
      <c r="M36" s="146"/>
      <c r="N36" s="146">
        <f>120115.2+7000+1200+7207.2-62045.4-73272.4-142.8-61.8</f>
        <v>5.8122395785176195E-12</v>
      </c>
      <c r="O36" s="146">
        <f>D36-G36-K36</f>
        <v>280.1499999999593</v>
      </c>
      <c r="P36" s="146">
        <f>O36*100/D36</f>
        <v>0.07003749999998982</v>
      </c>
      <c r="Q36" s="146">
        <f>E36-I36-M36</f>
        <v>0</v>
      </c>
      <c r="R36" s="146">
        <f>F36-J36-N36</f>
        <v>280.1499999999593</v>
      </c>
    </row>
    <row r="37" spans="1:18" ht="16.5" customHeight="1">
      <c r="A37" s="139"/>
      <c r="B37" s="45" t="s">
        <v>269</v>
      </c>
      <c r="C37" s="135"/>
      <c r="D37" s="144"/>
      <c r="E37" s="145"/>
      <c r="F37" s="144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ht="18.75" customHeight="1">
      <c r="A38" s="7"/>
      <c r="B38" s="5" t="s">
        <v>321</v>
      </c>
      <c r="C38" s="135"/>
      <c r="D38" s="144"/>
      <c r="E38" s="145"/>
      <c r="F38" s="14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ht="16.5" customHeight="1">
      <c r="A39" s="139" t="s">
        <v>187</v>
      </c>
      <c r="B39" s="45" t="s">
        <v>185</v>
      </c>
      <c r="C39" s="135" t="s">
        <v>277</v>
      </c>
      <c r="D39" s="144">
        <f>F39+E39</f>
        <v>200000</v>
      </c>
      <c r="E39" s="145"/>
      <c r="F39" s="144">
        <v>200000</v>
      </c>
      <c r="G39" s="146">
        <f>I39+J39</f>
        <v>199990.13999999998</v>
      </c>
      <c r="H39" s="174">
        <f>G39*100/D39</f>
        <v>99.99507</v>
      </c>
      <c r="I39" s="146"/>
      <c r="J39" s="146">
        <f>8056+9813.44+44719.35+1644+72868.95+47219.4+11909+3760</f>
        <v>199990.13999999998</v>
      </c>
      <c r="K39" s="146">
        <f>M39+N39</f>
        <v>-7.275957614183426E-12</v>
      </c>
      <c r="L39" s="146">
        <f>K39*100/D39</f>
        <v>-3.637978807091713E-15</v>
      </c>
      <c r="M39" s="146"/>
      <c r="N39" s="146">
        <f>10080+40861.2-2520+2520-1201.8+1240-47219.4-3760</f>
        <v>-7.275957614183426E-12</v>
      </c>
      <c r="O39" s="146">
        <f>D39-G39-K39</f>
        <v>9.86000000002241</v>
      </c>
      <c r="P39" s="146">
        <f>O39*100/D39</f>
        <v>0.004930000000011205</v>
      </c>
      <c r="Q39" s="146">
        <f>E39-I39-M39</f>
        <v>0</v>
      </c>
      <c r="R39" s="146">
        <f>F39-J39-N39</f>
        <v>9.86000000002241</v>
      </c>
    </row>
    <row r="40" spans="1:18" ht="16.5" customHeight="1">
      <c r="A40" s="139"/>
      <c r="B40" s="45" t="s">
        <v>275</v>
      </c>
      <c r="C40" s="135"/>
      <c r="D40" s="144"/>
      <c r="E40" s="145"/>
      <c r="F40" s="144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pans="1:18" ht="18.75" customHeight="1">
      <c r="A41" s="7"/>
      <c r="B41" s="5" t="s">
        <v>322</v>
      </c>
      <c r="C41" s="135"/>
      <c r="D41" s="144"/>
      <c r="E41" s="145"/>
      <c r="F41" s="144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</row>
    <row r="42" spans="1:18" ht="16.5" customHeight="1">
      <c r="A42" s="139" t="s">
        <v>188</v>
      </c>
      <c r="B42" s="45" t="s">
        <v>190</v>
      </c>
      <c r="C42" s="135" t="s">
        <v>277</v>
      </c>
      <c r="D42" s="144">
        <f>F42+E42</f>
        <v>300000</v>
      </c>
      <c r="E42" s="145"/>
      <c r="F42" s="144">
        <v>300000</v>
      </c>
      <c r="G42" s="146">
        <f>I42+J42</f>
        <v>299796.82</v>
      </c>
      <c r="H42" s="146">
        <f>G42*100/D42</f>
        <v>99.93227333333333</v>
      </c>
      <c r="I42" s="146"/>
      <c r="J42" s="146">
        <f>19650.47+55640.1+3288+12347+105991.2+60150.2+21769.05+20960.8</f>
        <v>299796.82</v>
      </c>
      <c r="K42" s="146">
        <f>M42+N42</f>
        <v>0</v>
      </c>
      <c r="L42" s="146">
        <f>K42*100/D42</f>
        <v>0</v>
      </c>
      <c r="M42" s="146"/>
      <c r="N42" s="146">
        <f>46870.2+13440+9610.8+11350-160-60150.2-20960.8</f>
        <v>0</v>
      </c>
      <c r="O42" s="146">
        <f>D42-G42-K42</f>
        <v>203.17999999999302</v>
      </c>
      <c r="P42" s="146">
        <f>O42*100/D42</f>
        <v>0.06772666666666434</v>
      </c>
      <c r="Q42" s="146">
        <f>E42-I42-M42</f>
        <v>0</v>
      </c>
      <c r="R42" s="146">
        <f>F42-J42-N42</f>
        <v>203.17999999999302</v>
      </c>
    </row>
    <row r="43" spans="1:18" ht="16.5" customHeight="1">
      <c r="A43" s="139"/>
      <c r="B43" s="45" t="s">
        <v>276</v>
      </c>
      <c r="C43" s="135"/>
      <c r="D43" s="136"/>
      <c r="E43" s="137"/>
      <c r="F43" s="136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9.5" customHeight="1">
      <c r="A44" s="7"/>
      <c r="B44" s="56" t="s">
        <v>194</v>
      </c>
      <c r="C44" s="99"/>
      <c r="D44" s="100">
        <f>F44+E44</f>
        <v>1600000</v>
      </c>
      <c r="E44" s="101"/>
      <c r="F44" s="100">
        <f>SUM(F32:F43)</f>
        <v>1600000</v>
      </c>
      <c r="G44" s="102">
        <f>J44+I44</f>
        <v>1599210.92</v>
      </c>
      <c r="H44" s="130">
        <f>G44*100/D44</f>
        <v>99.9506825</v>
      </c>
      <c r="I44" s="102">
        <f>I32+I36+I39+I42</f>
        <v>0</v>
      </c>
      <c r="J44" s="103">
        <f>J32+J36+J39+J42</f>
        <v>1599210.92</v>
      </c>
      <c r="K44" s="102">
        <f>N44+M44</f>
        <v>-1.8914647625933867E-11</v>
      </c>
      <c r="L44" s="104"/>
      <c r="M44" s="102">
        <f>M32+M36+M39+M42</f>
        <v>0</v>
      </c>
      <c r="N44" s="102">
        <f>N32+N36+N39+N42</f>
        <v>-1.8914647625933867E-11</v>
      </c>
      <c r="O44" s="98">
        <f>D44-G44-K44</f>
        <v>789.0800000000934</v>
      </c>
      <c r="P44" s="98">
        <f>O44*100/D44</f>
        <v>0.049317500000005836</v>
      </c>
      <c r="Q44" s="102">
        <f>Q32+Q36+Q39+Q42</f>
        <v>0</v>
      </c>
      <c r="R44" s="102">
        <f>R32+R36+R39+R42</f>
        <v>789.0800000000061</v>
      </c>
    </row>
    <row r="45" spans="1:18" ht="16.5" customHeight="1">
      <c r="A45" s="7"/>
      <c r="B45" s="8"/>
      <c r="C45" s="8"/>
      <c r="D45" s="9"/>
      <c r="E45" s="8"/>
      <c r="F45" s="9"/>
      <c r="G45" s="8"/>
      <c r="H45" s="8"/>
      <c r="I45" s="8"/>
      <c r="J45" s="6"/>
      <c r="K45" s="8"/>
      <c r="L45" s="8"/>
      <c r="M45" s="8"/>
      <c r="N45" s="8"/>
      <c r="O45" s="8"/>
      <c r="P45" s="8"/>
      <c r="Q45" s="8"/>
      <c r="R45" s="8"/>
    </row>
    <row r="46" spans="1:18" ht="17.25" customHeight="1">
      <c r="A46" s="20"/>
      <c r="B46" s="19"/>
      <c r="C46" s="132"/>
      <c r="D46" s="91"/>
      <c r="E46" s="92"/>
      <c r="F46" s="91"/>
      <c r="G46" s="93"/>
      <c r="H46" s="94"/>
      <c r="I46" s="93"/>
      <c r="J46" s="94"/>
      <c r="K46" s="93"/>
      <c r="L46" s="94"/>
      <c r="M46" s="93"/>
      <c r="N46" s="93"/>
      <c r="O46" s="93"/>
      <c r="P46" s="94"/>
      <c r="Q46" s="93"/>
      <c r="R46" s="93"/>
    </row>
    <row r="48" spans="1:2" ht="21">
      <c r="A48" s="116" t="s">
        <v>324</v>
      </c>
      <c r="B48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1.28125" style="0" bestFit="1" customWidth="1"/>
  </cols>
  <sheetData>
    <row r="4" ht="12.75">
      <c r="B4" s="2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28125" style="175" customWidth="1"/>
    <col min="2" max="2" width="33.00390625" style="175" customWidth="1"/>
    <col min="3" max="3" width="8.00390625" style="175" customWidth="1"/>
    <col min="4" max="4" width="9.7109375" style="175" customWidth="1"/>
    <col min="5" max="5" width="9.281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9.28125" style="175" customWidth="1"/>
    <col min="14" max="14" width="10.421875" style="175" customWidth="1"/>
    <col min="15" max="15" width="9.8515625" style="175" customWidth="1"/>
    <col min="16" max="16" width="5.57421875" style="175" customWidth="1"/>
    <col min="17" max="17" width="8.140625" style="175" customWidth="1"/>
    <col min="18" max="18" width="9.8515625" style="175" customWidth="1"/>
    <col min="19" max="16384" width="9.140625" style="175" customWidth="1"/>
  </cols>
  <sheetData>
    <row r="1" spans="1:18" ht="15.75">
      <c r="A1" s="316" t="s">
        <v>456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15.75" customHeight="1">
      <c r="A2" s="317" t="s">
        <v>0</v>
      </c>
      <c r="B2" s="317" t="s">
        <v>1</v>
      </c>
      <c r="C2" s="318" t="s">
        <v>2</v>
      </c>
      <c r="D2" s="319" t="s">
        <v>3</v>
      </c>
      <c r="E2" s="319"/>
      <c r="F2" s="319"/>
      <c r="G2" s="319" t="s">
        <v>7</v>
      </c>
      <c r="H2" s="319"/>
      <c r="I2" s="319"/>
      <c r="J2" s="319"/>
      <c r="K2" s="319" t="s">
        <v>9</v>
      </c>
      <c r="L2" s="319"/>
      <c r="M2" s="319"/>
      <c r="N2" s="319"/>
      <c r="O2" s="319" t="s">
        <v>10</v>
      </c>
      <c r="P2" s="319"/>
      <c r="Q2" s="319"/>
      <c r="R2" s="319"/>
    </row>
    <row r="3" spans="1:18" ht="14.25" customHeight="1">
      <c r="A3" s="317"/>
      <c r="B3" s="317"/>
      <c r="C3" s="318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328</v>
      </c>
      <c r="C4" s="179"/>
      <c r="D4" s="180">
        <f>E4+F4</f>
        <v>14854000</v>
      </c>
      <c r="E4" s="181">
        <f>SUM(E11+E44)</f>
        <v>1651000</v>
      </c>
      <c r="F4" s="181">
        <f>SUM(F11+F44)</f>
        <v>13203000</v>
      </c>
      <c r="G4" s="182">
        <f>I4+J4</f>
        <v>14020428.190000001</v>
      </c>
      <c r="H4" s="182">
        <f>G4*100/D4</f>
        <v>94.38823340514341</v>
      </c>
      <c r="I4" s="181">
        <f>SUM(I11+I44)</f>
        <v>819999.97</v>
      </c>
      <c r="J4" s="181">
        <f>SUM(J11+J44)</f>
        <v>13200428.22</v>
      </c>
      <c r="K4" s="182">
        <f>M4+N4</f>
        <v>-2.3282709094019083E-11</v>
      </c>
      <c r="L4" s="278">
        <f>K4*100/D4</f>
        <v>-1.5674369929998037E-16</v>
      </c>
      <c r="M4" s="181">
        <f>SUM(M11+M44)</f>
        <v>0</v>
      </c>
      <c r="N4" s="181">
        <f>SUM(N11+N44)</f>
        <v>-2.3282709094019083E-11</v>
      </c>
      <c r="O4" s="181">
        <f>Q4+R4</f>
        <v>833571.81</v>
      </c>
      <c r="P4" s="181">
        <f>O4*100/D4</f>
        <v>5.611766594856604</v>
      </c>
      <c r="Q4" s="181">
        <f>SUM(Q11+Q44)</f>
        <v>831000.03</v>
      </c>
      <c r="R4" s="181">
        <f>SUM(R11+R44)</f>
        <v>2571.7800000000802</v>
      </c>
    </row>
    <row r="5" spans="1:18" ht="21" customHeight="1">
      <c r="A5" s="183"/>
      <c r="B5" s="184" t="s">
        <v>330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329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331</v>
      </c>
      <c r="C7" s="190" t="s">
        <v>332</v>
      </c>
      <c r="D7" s="191">
        <f>F7+E7</f>
        <v>195000</v>
      </c>
      <c r="E7" s="192"/>
      <c r="F7" s="191">
        <v>195000</v>
      </c>
      <c r="G7" s="193">
        <f>I7+J7</f>
        <v>194969.35</v>
      </c>
      <c r="H7" s="194">
        <f>G7*100/D7</f>
        <v>99.98428205128205</v>
      </c>
      <c r="I7" s="193"/>
      <c r="J7" s="193">
        <f>26555.8+9463.5+118594.45+10000+27763.6+2592</f>
        <v>194969.35</v>
      </c>
      <c r="K7" s="193">
        <f>M7+N7</f>
        <v>0</v>
      </c>
      <c r="L7" s="194">
        <f>K7*100/D7</f>
        <v>0</v>
      </c>
      <c r="M7" s="193"/>
      <c r="N7" s="193"/>
      <c r="O7" s="193">
        <f>D7-G7-K7</f>
        <v>30.64999999999418</v>
      </c>
      <c r="P7" s="193">
        <f>O7*100/D7</f>
        <v>0.015717948717945733</v>
      </c>
      <c r="Q7" s="193">
        <f>E7-I7-M7</f>
        <v>0</v>
      </c>
      <c r="R7" s="193">
        <f>F7-J7-N7</f>
        <v>30.64999999999418</v>
      </c>
    </row>
    <row r="8" spans="1:18" ht="16.5" customHeight="1">
      <c r="A8" s="183"/>
      <c r="B8" s="188" t="s">
        <v>329</v>
      </c>
      <c r="C8" s="195"/>
      <c r="D8" s="196"/>
      <c r="E8" s="195"/>
      <c r="F8" s="196"/>
      <c r="G8" s="195"/>
      <c r="H8" s="195"/>
      <c r="I8" s="195"/>
      <c r="J8" s="197"/>
      <c r="K8" s="195"/>
      <c r="L8" s="226"/>
      <c r="M8" s="195"/>
      <c r="N8" s="195"/>
      <c r="O8" s="195"/>
      <c r="P8" s="195"/>
      <c r="Q8" s="195"/>
      <c r="R8" s="195"/>
    </row>
    <row r="9" spans="1:18" ht="16.5" customHeight="1">
      <c r="A9" s="183">
        <v>1.2</v>
      </c>
      <c r="B9" s="189" t="s">
        <v>333</v>
      </c>
      <c r="C9" s="190" t="s">
        <v>332</v>
      </c>
      <c r="D9" s="191">
        <f>F9+E9</f>
        <v>26000</v>
      </c>
      <c r="E9" s="192"/>
      <c r="F9" s="191">
        <v>26000</v>
      </c>
      <c r="G9" s="193">
        <f>I9+J9</f>
        <v>25688.45</v>
      </c>
      <c r="H9" s="194">
        <f>G9*100/D9</f>
        <v>98.80173076923077</v>
      </c>
      <c r="I9" s="193"/>
      <c r="J9" s="193">
        <f>5184.2+20504.25</f>
        <v>25688.45</v>
      </c>
      <c r="K9" s="193">
        <f>M9+N9</f>
        <v>0</v>
      </c>
      <c r="L9" s="194">
        <f>K9*100/D9</f>
        <v>0</v>
      </c>
      <c r="M9" s="193"/>
      <c r="N9" s="193"/>
      <c r="O9" s="193">
        <f>D9-G9-K9</f>
        <v>311.5499999999993</v>
      </c>
      <c r="P9" s="193">
        <f>O9*100/D9</f>
        <v>1.198269230769228</v>
      </c>
      <c r="Q9" s="193">
        <f>E9-I9-M9</f>
        <v>0</v>
      </c>
      <c r="R9" s="193">
        <f>F9-J9-N9</f>
        <v>311.5499999999993</v>
      </c>
    </row>
    <row r="10" spans="1:18" ht="16.5" customHeight="1">
      <c r="A10" s="183"/>
      <c r="B10" s="185" t="s">
        <v>334</v>
      </c>
      <c r="C10" s="185"/>
      <c r="D10" s="186"/>
      <c r="E10" s="185"/>
      <c r="F10" s="186"/>
      <c r="G10" s="185"/>
      <c r="H10" s="185"/>
      <c r="I10" s="185"/>
      <c r="J10" s="187"/>
      <c r="K10" s="185"/>
      <c r="L10" s="226"/>
      <c r="M10" s="185"/>
      <c r="N10" s="185"/>
      <c r="O10" s="185"/>
      <c r="P10" s="185"/>
      <c r="Q10" s="185"/>
      <c r="R10" s="185"/>
    </row>
    <row r="11" spans="1:18" ht="16.5" customHeight="1">
      <c r="A11" s="183"/>
      <c r="B11" s="198" t="s">
        <v>335</v>
      </c>
      <c r="C11" s="199"/>
      <c r="D11" s="200">
        <f>F11+E11</f>
        <v>221000</v>
      </c>
      <c r="E11" s="201">
        <f>E7+E9</f>
        <v>0</v>
      </c>
      <c r="F11" s="200">
        <f>F7+F9</f>
        <v>221000</v>
      </c>
      <c r="G11" s="202">
        <f>J11+I11</f>
        <v>220657.80000000002</v>
      </c>
      <c r="H11" s="203">
        <f>G11*100/D11</f>
        <v>99.84515837104072</v>
      </c>
      <c r="I11" s="202">
        <f>I7+I9</f>
        <v>0</v>
      </c>
      <c r="J11" s="204">
        <f>J7+J9</f>
        <v>220657.80000000002</v>
      </c>
      <c r="K11" s="202">
        <f>N11+M11</f>
        <v>0</v>
      </c>
      <c r="L11" s="203">
        <f>K11*100/D11</f>
        <v>0</v>
      </c>
      <c r="M11" s="202">
        <f>M7+M9</f>
        <v>0</v>
      </c>
      <c r="N11" s="202">
        <f>N7+N9</f>
        <v>0</v>
      </c>
      <c r="O11" s="204">
        <f>D11-G11-K11</f>
        <v>342.19999999998254</v>
      </c>
      <c r="P11" s="204">
        <f>O11*100/D11</f>
        <v>0.15484162895926812</v>
      </c>
      <c r="Q11" s="202">
        <f>Q7+Q9</f>
        <v>0</v>
      </c>
      <c r="R11" s="204">
        <f>F11-J11-N11</f>
        <v>342.19999999998254</v>
      </c>
    </row>
    <row r="12" spans="1:18" ht="16.5" customHeight="1">
      <c r="A12" s="183"/>
      <c r="B12" s="184" t="s">
        <v>336</v>
      </c>
      <c r="C12" s="185"/>
      <c r="D12" s="186"/>
      <c r="E12" s="185"/>
      <c r="F12" s="186"/>
      <c r="G12" s="185"/>
      <c r="H12" s="185"/>
      <c r="I12" s="185"/>
      <c r="J12" s="187"/>
      <c r="K12" s="185"/>
      <c r="L12" s="226"/>
      <c r="M12" s="185"/>
      <c r="N12" s="185"/>
      <c r="O12" s="185"/>
      <c r="P12" s="185"/>
      <c r="Q12" s="185"/>
      <c r="R12" s="185"/>
    </row>
    <row r="13" spans="1:18" ht="16.5" customHeight="1">
      <c r="A13" s="183"/>
      <c r="B13" s="188" t="s">
        <v>337</v>
      </c>
      <c r="C13" s="185"/>
      <c r="D13" s="186"/>
      <c r="E13" s="185"/>
      <c r="F13" s="186"/>
      <c r="G13" s="185"/>
      <c r="H13" s="185"/>
      <c r="I13" s="185"/>
      <c r="J13" s="187"/>
      <c r="K13" s="185"/>
      <c r="L13" s="185"/>
      <c r="M13" s="185"/>
      <c r="N13" s="185"/>
      <c r="O13" s="185"/>
      <c r="P13" s="185"/>
      <c r="Q13" s="185"/>
      <c r="R13" s="185"/>
    </row>
    <row r="14" spans="1:18" ht="16.5" customHeight="1">
      <c r="A14" s="183">
        <v>1.1</v>
      </c>
      <c r="B14" s="185" t="s">
        <v>338</v>
      </c>
      <c r="C14" s="190" t="s">
        <v>344</v>
      </c>
      <c r="D14" s="191">
        <f>F14+E14</f>
        <v>600000</v>
      </c>
      <c r="E14" s="192"/>
      <c r="F14" s="191">
        <v>600000</v>
      </c>
      <c r="G14" s="193">
        <f>I14+J14</f>
        <v>599738.72</v>
      </c>
      <c r="H14" s="194">
        <f>G14*100/D14</f>
        <v>99.95645333333333</v>
      </c>
      <c r="I14" s="193"/>
      <c r="J14" s="193">
        <f>109664.3+30080+75400+237882.22+44163+15000+84545.6+3003.6</f>
        <v>599738.72</v>
      </c>
      <c r="K14" s="193">
        <f>M14+N14</f>
        <v>0</v>
      </c>
      <c r="L14" s="194">
        <f>K14*100/D14</f>
        <v>0</v>
      </c>
      <c r="M14" s="193"/>
      <c r="N14" s="193">
        <f>15000+3003.6-15000-3003.6</f>
        <v>0</v>
      </c>
      <c r="O14" s="193">
        <f>D14-G14-K14</f>
        <v>261.28000000002794</v>
      </c>
      <c r="P14" s="193">
        <f>O14*100/D14</f>
        <v>0.04354666666667132</v>
      </c>
      <c r="Q14" s="193">
        <f>E14-I14-M14</f>
        <v>0</v>
      </c>
      <c r="R14" s="193">
        <f>F14-J14-N14</f>
        <v>261.28000000002794</v>
      </c>
    </row>
    <row r="15" spans="1:18" ht="16.5" customHeight="1">
      <c r="A15" s="183"/>
      <c r="B15" s="185" t="s">
        <v>339</v>
      </c>
      <c r="C15" s="195"/>
      <c r="D15" s="196"/>
      <c r="E15" s="195"/>
      <c r="F15" s="196"/>
      <c r="G15" s="195"/>
      <c r="H15" s="195"/>
      <c r="I15" s="195"/>
      <c r="J15" s="197"/>
      <c r="K15" s="195"/>
      <c r="L15" s="195"/>
      <c r="M15" s="195"/>
      <c r="N15" s="195"/>
      <c r="O15" s="195"/>
      <c r="P15" s="195"/>
      <c r="Q15" s="195"/>
      <c r="R15" s="195"/>
    </row>
    <row r="16" spans="1:18" ht="16.5" customHeight="1">
      <c r="A16" s="183"/>
      <c r="B16" s="185" t="s">
        <v>340</v>
      </c>
      <c r="C16" s="195"/>
      <c r="D16" s="196"/>
      <c r="E16" s="195"/>
      <c r="F16" s="196"/>
      <c r="G16" s="195"/>
      <c r="H16" s="195"/>
      <c r="I16" s="195"/>
      <c r="J16" s="197"/>
      <c r="K16" s="195"/>
      <c r="L16" s="195"/>
      <c r="M16" s="195"/>
      <c r="N16" s="195"/>
      <c r="O16" s="195"/>
      <c r="P16" s="195"/>
      <c r="Q16" s="195"/>
      <c r="R16" s="195"/>
    </row>
    <row r="17" spans="1:18" ht="16.5" customHeight="1">
      <c r="A17" s="183"/>
      <c r="B17" s="188" t="s">
        <v>343</v>
      </c>
      <c r="C17" s="195"/>
      <c r="D17" s="196"/>
      <c r="E17" s="195"/>
      <c r="F17" s="196"/>
      <c r="G17" s="195"/>
      <c r="H17" s="195"/>
      <c r="I17" s="195"/>
      <c r="J17" s="197"/>
      <c r="K17" s="195"/>
      <c r="L17" s="195"/>
      <c r="M17" s="195"/>
      <c r="N17" s="195"/>
      <c r="O17" s="195"/>
      <c r="P17" s="195"/>
      <c r="Q17" s="195"/>
      <c r="R17" s="195"/>
    </row>
    <row r="18" spans="1:18" ht="16.5" customHeight="1">
      <c r="A18" s="183">
        <v>1.2</v>
      </c>
      <c r="B18" s="185" t="s">
        <v>341</v>
      </c>
      <c r="C18" s="190" t="s">
        <v>344</v>
      </c>
      <c r="D18" s="191">
        <f>F18+E18</f>
        <v>1950000</v>
      </c>
      <c r="E18" s="192"/>
      <c r="F18" s="191">
        <v>1950000</v>
      </c>
      <c r="G18" s="193">
        <f>I18+J18</f>
        <v>1949781.5100000002</v>
      </c>
      <c r="H18" s="194">
        <f>G18*100/D18</f>
        <v>99.9887953846154</v>
      </c>
      <c r="I18" s="193"/>
      <c r="J18" s="193">
        <f>99037+55519.2+272639.65+2520+203120+83038.6+311708.06+196285.5+104113.5+172024.05+111094.1+119250+31115+111766.1+72883+3667.75</f>
        <v>1949781.5100000002</v>
      </c>
      <c r="K18" s="193">
        <f>M18+N18</f>
        <v>0</v>
      </c>
      <c r="L18" s="194">
        <f>K18*100/D18</f>
        <v>0</v>
      </c>
      <c r="M18" s="193"/>
      <c r="N18" s="193">
        <f>315535.5+2520+83038.6+3360+3000+104891.4-2520-83038.6-196285.5+1501.8+74947.3-98.2-59.1-111094.1-119250-3566.1-72883</f>
        <v>0</v>
      </c>
      <c r="O18" s="193">
        <f>D18-G18-K18</f>
        <v>218.48999999975786</v>
      </c>
      <c r="P18" s="193">
        <f>O18*100/D18</f>
        <v>0.011204615384602967</v>
      </c>
      <c r="Q18" s="193">
        <f>E18-I18-M18</f>
        <v>0</v>
      </c>
      <c r="R18" s="193">
        <f>F18-J18-N18</f>
        <v>218.48999999975786</v>
      </c>
    </row>
    <row r="19" spans="1:18" ht="16.5" customHeight="1">
      <c r="A19" s="183"/>
      <c r="B19" s="185" t="s">
        <v>342</v>
      </c>
      <c r="C19" s="195"/>
      <c r="D19" s="196"/>
      <c r="E19" s="195"/>
      <c r="F19" s="196"/>
      <c r="G19" s="195"/>
      <c r="H19" s="195"/>
      <c r="I19" s="195"/>
      <c r="J19" s="197"/>
      <c r="K19" s="195"/>
      <c r="L19" s="226"/>
      <c r="M19" s="195"/>
      <c r="N19" s="195"/>
      <c r="O19" s="195"/>
      <c r="P19" s="195"/>
      <c r="Q19" s="195"/>
      <c r="R19" s="195"/>
    </row>
    <row r="20" spans="1:18" ht="16.5" customHeight="1">
      <c r="A20" s="183"/>
      <c r="B20" s="188" t="s">
        <v>345</v>
      </c>
      <c r="C20" s="195"/>
      <c r="D20" s="196"/>
      <c r="E20" s="195"/>
      <c r="F20" s="196"/>
      <c r="G20" s="195"/>
      <c r="H20" s="195"/>
      <c r="I20" s="195"/>
      <c r="J20" s="197"/>
      <c r="K20" s="195"/>
      <c r="L20" s="226"/>
      <c r="M20" s="195"/>
      <c r="N20" s="195"/>
      <c r="O20" s="195"/>
      <c r="P20" s="195"/>
      <c r="Q20" s="195"/>
      <c r="R20" s="195"/>
    </row>
    <row r="21" spans="1:18" ht="16.5" customHeight="1">
      <c r="A21" s="183">
        <v>1.3</v>
      </c>
      <c r="B21" s="185" t="s">
        <v>346</v>
      </c>
      <c r="C21" s="190" t="s">
        <v>344</v>
      </c>
      <c r="D21" s="191">
        <f>F21+E21</f>
        <v>1950000</v>
      </c>
      <c r="E21" s="192"/>
      <c r="F21" s="191">
        <v>1950000</v>
      </c>
      <c r="G21" s="193">
        <f>I21+J21</f>
        <v>1949966.17</v>
      </c>
      <c r="H21" s="194">
        <f>G21*100/D21</f>
        <v>99.99826512820513</v>
      </c>
      <c r="I21" s="193"/>
      <c r="J21" s="193">
        <f>70660.8+70995.6+96356+99790+69977.82+235041.25+458621.8+120988.2+74998+34355+419364.5+124936.2+73881</f>
        <v>1949966.17</v>
      </c>
      <c r="K21" s="193">
        <f>M21+N21</f>
        <v>0</v>
      </c>
      <c r="L21" s="194">
        <f>K21*100/D21</f>
        <v>0</v>
      </c>
      <c r="M21" s="193"/>
      <c r="N21" s="193">
        <f>74715.6+89688.2+15000-3720+17700-70995.6+73881-1400-120988.2-73881</f>
        <v>0</v>
      </c>
      <c r="O21" s="193">
        <f>D21-G21-K21</f>
        <v>33.830000000074506</v>
      </c>
      <c r="P21" s="193">
        <f>O21*100/D21</f>
        <v>0.0017348717948756157</v>
      </c>
      <c r="Q21" s="193">
        <f>E21-I21-M21</f>
        <v>0</v>
      </c>
      <c r="R21" s="193">
        <f>F21-J21-N21</f>
        <v>33.830000000074506</v>
      </c>
    </row>
    <row r="22" spans="1:18" ht="16.5" customHeight="1">
      <c r="A22" s="183"/>
      <c r="B22" s="185" t="s">
        <v>347</v>
      </c>
      <c r="C22" s="195"/>
      <c r="D22" s="196"/>
      <c r="E22" s="195"/>
      <c r="F22" s="196"/>
      <c r="G22" s="195"/>
      <c r="H22" s="195"/>
      <c r="I22" s="195"/>
      <c r="J22" s="197"/>
      <c r="K22" s="195"/>
      <c r="L22" s="226"/>
      <c r="M22" s="195"/>
      <c r="N22" s="195"/>
      <c r="O22" s="195"/>
      <c r="P22" s="195"/>
      <c r="Q22" s="195"/>
      <c r="R22" s="195"/>
    </row>
    <row r="23" spans="1:18" ht="16.5" customHeight="1">
      <c r="A23" s="183"/>
      <c r="B23" s="188" t="s">
        <v>348</v>
      </c>
      <c r="C23" s="195"/>
      <c r="D23" s="196"/>
      <c r="E23" s="195"/>
      <c r="F23" s="196"/>
      <c r="G23" s="195"/>
      <c r="H23" s="195"/>
      <c r="I23" s="195"/>
      <c r="J23" s="197"/>
      <c r="K23" s="195"/>
      <c r="L23" s="226"/>
      <c r="M23" s="195"/>
      <c r="N23" s="195"/>
      <c r="O23" s="195"/>
      <c r="P23" s="195"/>
      <c r="Q23" s="195"/>
      <c r="R23" s="195"/>
    </row>
    <row r="24" spans="1:18" ht="16.5" customHeight="1">
      <c r="A24" s="183">
        <v>1.4</v>
      </c>
      <c r="B24" s="185" t="s">
        <v>349</v>
      </c>
      <c r="C24" s="190" t="s">
        <v>344</v>
      </c>
      <c r="D24" s="191">
        <f>F24+E24</f>
        <v>1900000</v>
      </c>
      <c r="E24" s="192"/>
      <c r="F24" s="191">
        <v>1900000</v>
      </c>
      <c r="G24" s="193">
        <f>I24+J24</f>
        <v>1899862.3499999999</v>
      </c>
      <c r="H24" s="194">
        <f>G24*100/D24</f>
        <v>99.99275526315789</v>
      </c>
      <c r="I24" s="193"/>
      <c r="J24" s="193">
        <f>60439.5+89903.25+80755.2+190031+50380+74425+32612.7+4740+393145+111054.4+64072+37338+31100+26000+27980+131877.1+102497.2+371252+20260</f>
        <v>1899862.3499999999</v>
      </c>
      <c r="K24" s="193">
        <f>M24+N24</f>
        <v>0</v>
      </c>
      <c r="L24" s="194">
        <f>K24*100/D24</f>
        <v>0</v>
      </c>
      <c r="M24" s="193"/>
      <c r="N24" s="193">
        <f>64072+9000+18000+75590.9-64072-93.7-102497.2</f>
        <v>0</v>
      </c>
      <c r="O24" s="193">
        <f>D24-G24-K24</f>
        <v>137.6500000001397</v>
      </c>
      <c r="P24" s="193">
        <f>O24*100/D24</f>
        <v>0.007244736842112616</v>
      </c>
      <c r="Q24" s="193">
        <f>E24-I24-M24</f>
        <v>0</v>
      </c>
      <c r="R24" s="193">
        <f>F24-J24-N24</f>
        <v>137.6500000001397</v>
      </c>
    </row>
    <row r="25" spans="1:18" ht="16.5" customHeight="1">
      <c r="A25" s="183"/>
      <c r="B25" s="185" t="s">
        <v>350</v>
      </c>
      <c r="C25" s="195"/>
      <c r="D25" s="196"/>
      <c r="E25" s="195"/>
      <c r="F25" s="196"/>
      <c r="G25" s="195"/>
      <c r="H25" s="195"/>
      <c r="I25" s="195"/>
      <c r="J25" s="197"/>
      <c r="K25" s="195"/>
      <c r="L25" s="226"/>
      <c r="M25" s="195"/>
      <c r="N25" s="195"/>
      <c r="O25" s="195"/>
      <c r="P25" s="195"/>
      <c r="Q25" s="195"/>
      <c r="R25" s="195"/>
    </row>
    <row r="26" spans="1:18" ht="16.5" customHeight="1">
      <c r="A26" s="183"/>
      <c r="B26" s="188" t="s">
        <v>351</v>
      </c>
      <c r="C26" s="195"/>
      <c r="D26" s="196"/>
      <c r="E26" s="195"/>
      <c r="F26" s="196"/>
      <c r="G26" s="195"/>
      <c r="H26" s="195"/>
      <c r="I26" s="195"/>
      <c r="J26" s="197"/>
      <c r="K26" s="195"/>
      <c r="L26" s="226"/>
      <c r="M26" s="195"/>
      <c r="N26" s="195"/>
      <c r="O26" s="195"/>
      <c r="P26" s="195"/>
      <c r="Q26" s="195"/>
      <c r="R26" s="195"/>
    </row>
    <row r="27" spans="1:18" ht="16.5" customHeight="1">
      <c r="A27" s="183">
        <v>1.5</v>
      </c>
      <c r="B27" s="185" t="s">
        <v>352</v>
      </c>
      <c r="C27" s="190" t="s">
        <v>344</v>
      </c>
      <c r="D27" s="191">
        <f>F27+E27</f>
        <v>1850000</v>
      </c>
      <c r="E27" s="192"/>
      <c r="F27" s="191">
        <v>1850000</v>
      </c>
      <c r="G27" s="193">
        <f>I27+J27</f>
        <v>1849983.5999999999</v>
      </c>
      <c r="H27" s="194">
        <f>G27*100/D27</f>
        <v>99.9991135135135</v>
      </c>
      <c r="I27" s="193"/>
      <c r="J27" s="193">
        <f>78685+25236+38622+27396+75570+284200+73770+68822.4+214807+363484+96621.5+48586.3+51656.7+32340+154140+97884.3+67759.4+42568+7835</f>
        <v>1849983.5999999999</v>
      </c>
      <c r="K27" s="193">
        <f>M27+N27</f>
        <v>0</v>
      </c>
      <c r="L27" s="194">
        <f>K27*100/D27</f>
        <v>0</v>
      </c>
      <c r="M27" s="193"/>
      <c r="N27" s="193">
        <f>7508.1+11210.8+33637+52759.4+15000-699.2-51656.7-67759.4</f>
        <v>0</v>
      </c>
      <c r="O27" s="193">
        <f>D27-G27-K27</f>
        <v>16.4000000001397</v>
      </c>
      <c r="P27" s="193">
        <f>O27*100/D27</f>
        <v>0.0008864864864940378</v>
      </c>
      <c r="Q27" s="193">
        <f>E27-I27-M27</f>
        <v>0</v>
      </c>
      <c r="R27" s="193">
        <f>F27-J27-N27</f>
        <v>16.4000000001397</v>
      </c>
    </row>
    <row r="28" spans="1:18" ht="16.5" customHeight="1">
      <c r="A28" s="183"/>
      <c r="B28" s="185" t="s">
        <v>353</v>
      </c>
      <c r="C28" s="195"/>
      <c r="D28" s="196"/>
      <c r="E28" s="195"/>
      <c r="F28" s="196"/>
      <c r="G28" s="195"/>
      <c r="H28" s="195"/>
      <c r="I28" s="195"/>
      <c r="J28" s="197"/>
      <c r="K28" s="195"/>
      <c r="L28" s="226"/>
      <c r="M28" s="195"/>
      <c r="N28" s="195"/>
      <c r="O28" s="195"/>
      <c r="P28" s="195"/>
      <c r="Q28" s="195"/>
      <c r="R28" s="195"/>
    </row>
    <row r="29" spans="1:18" ht="16.5" customHeight="1">
      <c r="A29" s="183"/>
      <c r="B29" s="188" t="s">
        <v>354</v>
      </c>
      <c r="C29" s="195"/>
      <c r="D29" s="196"/>
      <c r="E29" s="195"/>
      <c r="F29" s="196"/>
      <c r="G29" s="195"/>
      <c r="H29" s="195"/>
      <c r="I29" s="195"/>
      <c r="J29" s="197"/>
      <c r="K29" s="195"/>
      <c r="L29" s="226"/>
      <c r="M29" s="195"/>
      <c r="N29" s="195"/>
      <c r="O29" s="195"/>
      <c r="P29" s="195"/>
      <c r="Q29" s="195"/>
      <c r="R29" s="195"/>
    </row>
    <row r="30" spans="1:18" ht="16.5" customHeight="1">
      <c r="A30" s="183">
        <v>1.6</v>
      </c>
      <c r="B30" s="185" t="s">
        <v>355</v>
      </c>
      <c r="C30" s="190" t="s">
        <v>344</v>
      </c>
      <c r="D30" s="191">
        <f>F30+E30</f>
        <v>1200000</v>
      </c>
      <c r="E30" s="192"/>
      <c r="F30" s="191">
        <v>1200000</v>
      </c>
      <c r="G30" s="193">
        <f>I30+J30</f>
        <v>1199998.42</v>
      </c>
      <c r="H30" s="194">
        <f>G30*100/D30</f>
        <v>99.99986833333334</v>
      </c>
      <c r="I30" s="193"/>
      <c r="J30" s="193">
        <f>112075.6+54179.4+98342+95367+95758.5+116524.7+96225.25+223768.87+78369.3+26600+117995.3+69776.5+15016</f>
        <v>1199998.42</v>
      </c>
      <c r="K30" s="193">
        <f>M30+N30</f>
        <v>0</v>
      </c>
      <c r="L30" s="194">
        <f>K30*100/D30</f>
        <v>0</v>
      </c>
      <c r="M30" s="193"/>
      <c r="N30" s="193">
        <f>56579.4+70469.3+9000-2400-54179.4+69776.5-1100-78369.3-69776.5</f>
        <v>0</v>
      </c>
      <c r="O30" s="193">
        <f>D30-G30-K30</f>
        <v>1.5800000000745058</v>
      </c>
      <c r="P30" s="193">
        <f>O30*100/D30</f>
        <v>0.0001316666666728755</v>
      </c>
      <c r="Q30" s="193">
        <f>E30-I30-M30</f>
        <v>0</v>
      </c>
      <c r="R30" s="193">
        <f>F30-J30-N30</f>
        <v>1.5800000000745058</v>
      </c>
    </row>
    <row r="31" spans="1:18" ht="16.5" customHeight="1">
      <c r="A31" s="183"/>
      <c r="B31" s="185" t="s">
        <v>356</v>
      </c>
      <c r="C31" s="195"/>
      <c r="D31" s="196"/>
      <c r="E31" s="195"/>
      <c r="F31" s="196"/>
      <c r="G31" s="195"/>
      <c r="H31" s="195"/>
      <c r="I31" s="195"/>
      <c r="J31" s="197"/>
      <c r="K31" s="195"/>
      <c r="L31" s="226"/>
      <c r="M31" s="195"/>
      <c r="N31" s="195"/>
      <c r="O31" s="195"/>
      <c r="P31" s="195"/>
      <c r="Q31" s="195"/>
      <c r="R31" s="195"/>
    </row>
    <row r="32" spans="1:19" ht="16.5" customHeight="1">
      <c r="A32" s="183"/>
      <c r="B32" s="188" t="s">
        <v>357</v>
      </c>
      <c r="C32" s="195"/>
      <c r="D32" s="196"/>
      <c r="E32" s="195"/>
      <c r="F32" s="196"/>
      <c r="G32" s="195"/>
      <c r="H32" s="195"/>
      <c r="I32" s="195"/>
      <c r="J32" s="197"/>
      <c r="K32" s="195"/>
      <c r="L32" s="226"/>
      <c r="M32" s="195"/>
      <c r="N32" s="195"/>
      <c r="O32" s="195"/>
      <c r="P32" s="195"/>
      <c r="Q32" s="195"/>
      <c r="R32" s="195"/>
      <c r="S32" s="175">
        <v>2</v>
      </c>
    </row>
    <row r="33" spans="1:18" ht="16.5" customHeight="1">
      <c r="A33" s="183">
        <v>1.7</v>
      </c>
      <c r="B33" s="185" t="s">
        <v>358</v>
      </c>
      <c r="C33" s="190" t="s">
        <v>344</v>
      </c>
      <c r="D33" s="191">
        <f>F33+E33</f>
        <v>1700000</v>
      </c>
      <c r="E33" s="223">
        <v>1651000</v>
      </c>
      <c r="F33" s="191">
        <v>49000</v>
      </c>
      <c r="G33" s="193">
        <f>I33+J33</f>
        <v>868910.97</v>
      </c>
      <c r="H33" s="194">
        <f>G33*100/D33</f>
        <v>51.11241</v>
      </c>
      <c r="I33" s="193">
        <v>819999.97</v>
      </c>
      <c r="J33" s="193">
        <f>10094.4+10057+15141.6+13618</f>
        <v>48911</v>
      </c>
      <c r="K33" s="193">
        <f>M33+N33</f>
        <v>0</v>
      </c>
      <c r="L33" s="194">
        <f>K33*100/D33</f>
        <v>0</v>
      </c>
      <c r="M33" s="193"/>
      <c r="N33" s="193">
        <f>13618-13618</f>
        <v>0</v>
      </c>
      <c r="O33" s="193">
        <f>D33-G33-K33</f>
        <v>831089.03</v>
      </c>
      <c r="P33" s="193">
        <f>O33*100/D33</f>
        <v>48.88759</v>
      </c>
      <c r="Q33" s="194">
        <f>E33-I33-M33</f>
        <v>831000.03</v>
      </c>
      <c r="R33" s="193">
        <f>F33-J33-N33</f>
        <v>89</v>
      </c>
    </row>
    <row r="34" spans="1:18" ht="16.5" customHeight="1">
      <c r="A34" s="205"/>
      <c r="B34" s="206" t="s">
        <v>342</v>
      </c>
      <c r="C34" s="207"/>
      <c r="D34" s="208"/>
      <c r="E34" s="207"/>
      <c r="F34" s="208"/>
      <c r="G34" s="207"/>
      <c r="H34" s="207"/>
      <c r="I34" s="207"/>
      <c r="J34" s="209"/>
      <c r="K34" s="207"/>
      <c r="L34" s="227"/>
      <c r="M34" s="207"/>
      <c r="N34" s="207"/>
      <c r="O34" s="207"/>
      <c r="P34" s="207"/>
      <c r="Q34" s="207"/>
      <c r="R34" s="207"/>
    </row>
    <row r="35" spans="1:18" ht="16.5" customHeight="1">
      <c r="A35" s="210"/>
      <c r="B35" s="211" t="s">
        <v>359</v>
      </c>
      <c r="C35" s="212"/>
      <c r="D35" s="213"/>
      <c r="E35" s="212"/>
      <c r="F35" s="213"/>
      <c r="G35" s="212"/>
      <c r="H35" s="212"/>
      <c r="I35" s="212"/>
      <c r="J35" s="214"/>
      <c r="K35" s="212"/>
      <c r="L35" s="228"/>
      <c r="M35" s="212"/>
      <c r="N35" s="212"/>
      <c r="O35" s="212"/>
      <c r="P35" s="212"/>
      <c r="Q35" s="212"/>
      <c r="R35" s="212"/>
    </row>
    <row r="36" spans="1:18" ht="16.5" customHeight="1">
      <c r="A36" s="183">
        <v>1.8</v>
      </c>
      <c r="B36" s="185" t="s">
        <v>360</v>
      </c>
      <c r="C36" s="190" t="s">
        <v>344</v>
      </c>
      <c r="D36" s="191">
        <f>F36+E36</f>
        <v>933000</v>
      </c>
      <c r="E36" s="192"/>
      <c r="F36" s="191">
        <v>933000</v>
      </c>
      <c r="G36" s="193">
        <f>I36+J36</f>
        <v>932648.5</v>
      </c>
      <c r="H36" s="194">
        <f>G36*100/D36</f>
        <v>99.96232583065381</v>
      </c>
      <c r="I36" s="193"/>
      <c r="J36" s="193">
        <f>410880+49780+59345.5+34993+69460+118707+39344+100939+49200</f>
        <v>932648.5</v>
      </c>
      <c r="K36" s="193">
        <f>M36+N36</f>
        <v>0</v>
      </c>
      <c r="L36" s="194">
        <f>K36*100/D36</f>
        <v>0</v>
      </c>
      <c r="M36" s="193"/>
      <c r="N36" s="193">
        <f>102139-1200-100939</f>
        <v>0</v>
      </c>
      <c r="O36" s="193">
        <f>D36-G36-K36</f>
        <v>351.5</v>
      </c>
      <c r="P36" s="193">
        <f>O36*100/D36</f>
        <v>0.03767416934619507</v>
      </c>
      <c r="Q36" s="193">
        <f>E36-I36-M36</f>
        <v>0</v>
      </c>
      <c r="R36" s="193">
        <f>F36-J36-N36</f>
        <v>351.5</v>
      </c>
    </row>
    <row r="37" spans="1:18" ht="16.5" customHeight="1">
      <c r="A37" s="183"/>
      <c r="B37" s="185" t="s">
        <v>361</v>
      </c>
      <c r="C37" s="195"/>
      <c r="D37" s="196"/>
      <c r="E37" s="195"/>
      <c r="F37" s="196"/>
      <c r="G37" s="195"/>
      <c r="H37" s="195"/>
      <c r="I37" s="195"/>
      <c r="J37" s="197"/>
      <c r="K37" s="195"/>
      <c r="L37" s="226"/>
      <c r="M37" s="195"/>
      <c r="N37" s="195"/>
      <c r="O37" s="195"/>
      <c r="P37" s="195"/>
      <c r="Q37" s="195"/>
      <c r="R37" s="195"/>
    </row>
    <row r="38" spans="1:18" ht="16.5" customHeight="1">
      <c r="A38" s="183"/>
      <c r="B38" s="188" t="s">
        <v>362</v>
      </c>
      <c r="C38" s="195"/>
      <c r="D38" s="196"/>
      <c r="E38" s="195"/>
      <c r="F38" s="196"/>
      <c r="G38" s="195"/>
      <c r="H38" s="195"/>
      <c r="I38" s="195"/>
      <c r="J38" s="197"/>
      <c r="K38" s="195"/>
      <c r="L38" s="226"/>
      <c r="M38" s="195"/>
      <c r="N38" s="195"/>
      <c r="O38" s="195"/>
      <c r="P38" s="195"/>
      <c r="Q38" s="195"/>
      <c r="R38" s="195"/>
    </row>
    <row r="39" spans="1:18" ht="16.5" customHeight="1">
      <c r="A39" s="183">
        <v>1.9</v>
      </c>
      <c r="B39" s="185" t="s">
        <v>363</v>
      </c>
      <c r="C39" s="190" t="s">
        <v>344</v>
      </c>
      <c r="D39" s="191">
        <f>F39+E39</f>
        <v>1950000</v>
      </c>
      <c r="E39" s="192"/>
      <c r="F39" s="191">
        <v>1950000</v>
      </c>
      <c r="G39" s="193">
        <f>I39+J39</f>
        <v>1948893.3499999999</v>
      </c>
      <c r="H39" s="194">
        <f>G39*100/D39</f>
        <v>99.94324871794872</v>
      </c>
      <c r="I39" s="193"/>
      <c r="J39" s="193">
        <f>225953.05+86281+99789+100760+22281+5025+6624.45+215167.9+9261+80029.8+436972.82+3600+50000+87567+41540.73+215167.9+93610.7+4078+79484+85700</f>
        <v>1948893.3499999999</v>
      </c>
      <c r="K39" s="193">
        <f>M39+N39</f>
        <v>-2.3282709094019083E-11</v>
      </c>
      <c r="L39" s="194">
        <f>K39*100/D39</f>
        <v>-1.1939850817445683E-15</v>
      </c>
      <c r="M39" s="193"/>
      <c r="N39" s="193">
        <f>74081+12400+149064-86281-200+49549.5-82254-36329.7+15005.4+78613.4-80029.8-93610.7-8.1</f>
        <v>-2.3282709094019083E-11</v>
      </c>
      <c r="O39" s="193">
        <f>D39-G39-K39</f>
        <v>1106.650000000163</v>
      </c>
      <c r="P39" s="193">
        <f>O39*100/D39</f>
        <v>0.0567512820512904</v>
      </c>
      <c r="Q39" s="193">
        <f>E39-I39-M39</f>
        <v>0</v>
      </c>
      <c r="R39" s="193">
        <f>F39-J39-N39</f>
        <v>1106.650000000163</v>
      </c>
    </row>
    <row r="40" spans="1:18" ht="16.5" customHeight="1">
      <c r="A40" s="183"/>
      <c r="B40" s="185" t="s">
        <v>364</v>
      </c>
      <c r="C40" s="195"/>
      <c r="D40" s="196"/>
      <c r="E40" s="195"/>
      <c r="F40" s="196"/>
      <c r="G40" s="195"/>
      <c r="H40" s="195"/>
      <c r="I40" s="195"/>
      <c r="J40" s="197"/>
      <c r="K40" s="195"/>
      <c r="L40" s="226"/>
      <c r="M40" s="195"/>
      <c r="N40" s="195"/>
      <c r="O40" s="195"/>
      <c r="P40" s="195"/>
      <c r="Q40" s="195"/>
      <c r="R40" s="195"/>
    </row>
    <row r="41" spans="1:18" ht="16.5" customHeight="1">
      <c r="A41" s="183"/>
      <c r="B41" s="188" t="s">
        <v>365</v>
      </c>
      <c r="C41" s="195"/>
      <c r="D41" s="196"/>
      <c r="E41" s="195"/>
      <c r="F41" s="196"/>
      <c r="G41" s="195"/>
      <c r="H41" s="195"/>
      <c r="I41" s="195"/>
      <c r="J41" s="197"/>
      <c r="K41" s="195"/>
      <c r="L41" s="195"/>
      <c r="M41" s="195"/>
      <c r="N41" s="195"/>
      <c r="O41" s="195"/>
      <c r="P41" s="195"/>
      <c r="Q41" s="195"/>
      <c r="R41" s="195"/>
    </row>
    <row r="42" spans="1:18" ht="16.5" customHeight="1">
      <c r="A42" s="215">
        <v>1.1</v>
      </c>
      <c r="B42" s="185" t="s">
        <v>366</v>
      </c>
      <c r="C42" s="190" t="s">
        <v>344</v>
      </c>
      <c r="D42" s="191">
        <f>F42+E42</f>
        <v>600000</v>
      </c>
      <c r="E42" s="192"/>
      <c r="F42" s="191">
        <v>600000</v>
      </c>
      <c r="G42" s="193">
        <f>I42+J42</f>
        <v>599986.8</v>
      </c>
      <c r="H42" s="194">
        <f>G42*100/D42</f>
        <v>99.99780000000001</v>
      </c>
      <c r="I42" s="193"/>
      <c r="J42" s="193">
        <f>49982+80755.2+9996+72131.3+259959+41645.4+13512.6+44442+12544.3+15019</f>
        <v>599986.8</v>
      </c>
      <c r="K42" s="193">
        <f>M42+N42</f>
        <v>0</v>
      </c>
      <c r="L42" s="194">
        <f>K42*100/D42</f>
        <v>0</v>
      </c>
      <c r="M42" s="193"/>
      <c r="N42" s="193">
        <f>72329.5+18000-72131.3-198.2-4487.4-13512.6</f>
        <v>0</v>
      </c>
      <c r="O42" s="193">
        <f>D42-G42-K42</f>
        <v>13.199999999953434</v>
      </c>
      <c r="P42" s="193">
        <f>O42*100/D42</f>
        <v>0.002199999999992239</v>
      </c>
      <c r="Q42" s="193">
        <f>E42-I42-M42</f>
        <v>0</v>
      </c>
      <c r="R42" s="193">
        <f>F42-J42-N42</f>
        <v>13.199999999953434</v>
      </c>
    </row>
    <row r="43" spans="1:18" ht="16.5" customHeight="1">
      <c r="A43" s="183"/>
      <c r="B43" s="185" t="s">
        <v>367</v>
      </c>
      <c r="C43" s="185"/>
      <c r="D43" s="186"/>
      <c r="E43" s="185"/>
      <c r="F43" s="186"/>
      <c r="G43" s="185"/>
      <c r="H43" s="185"/>
      <c r="I43" s="185"/>
      <c r="J43" s="187"/>
      <c r="K43" s="185"/>
      <c r="L43" s="185"/>
      <c r="M43" s="185"/>
      <c r="N43" s="185"/>
      <c r="O43" s="185"/>
      <c r="P43" s="185"/>
      <c r="Q43" s="185"/>
      <c r="R43" s="185"/>
    </row>
    <row r="44" spans="1:18" ht="16.5" customHeight="1">
      <c r="A44" s="183"/>
      <c r="B44" s="198" t="s">
        <v>263</v>
      </c>
      <c r="C44" s="199"/>
      <c r="D44" s="224">
        <f>F44+E44</f>
        <v>14633000</v>
      </c>
      <c r="E44" s="225">
        <f>E14+E18+E21+E24+E27+E30+E33+E36+E39+E42</f>
        <v>1651000</v>
      </c>
      <c r="F44" s="224">
        <f>F14+F18+F21+F24+F27+F30+F33+F36+F39+F42</f>
        <v>12982000</v>
      </c>
      <c r="G44" s="216">
        <f>J44+I44</f>
        <v>13799770.39</v>
      </c>
      <c r="H44" s="203">
        <f>G44*100/D44</f>
        <v>94.30581828743252</v>
      </c>
      <c r="I44" s="216">
        <f>I14+I18+I21+I24+I27+I30+I33+I36+I39+I42</f>
        <v>819999.97</v>
      </c>
      <c r="J44" s="203">
        <f>J14+J18+J21+J24+J27+J30+J33+J36+J39+J42</f>
        <v>12979770.42</v>
      </c>
      <c r="K44" s="216">
        <f>N44+M44</f>
        <v>-2.3282709094019083E-11</v>
      </c>
      <c r="L44" s="203">
        <f>K44*100/D44</f>
        <v>-1.5911097583557085E-16</v>
      </c>
      <c r="M44" s="216">
        <f>M14+M18+M21+M24+M27+M30+M33+M36+M39+M42</f>
        <v>0</v>
      </c>
      <c r="N44" s="216">
        <f>N14+N18+N21+N24+N27+N30+N33+N36+N39+N42</f>
        <v>-2.3282709094019083E-11</v>
      </c>
      <c r="O44" s="203">
        <f>D44-G44-K44</f>
        <v>833229.6099999994</v>
      </c>
      <c r="P44" s="203">
        <f>O44*100/D44</f>
        <v>5.69418171256748</v>
      </c>
      <c r="Q44" s="216">
        <f>SUM(Q14:Q43)</f>
        <v>831000.03</v>
      </c>
      <c r="R44" s="203">
        <f>F44-J44-N44</f>
        <v>2229.5800000000977</v>
      </c>
    </row>
    <row r="45" spans="1:18" ht="17.25" customHeight="1">
      <c r="A45" s="205"/>
      <c r="B45" s="206"/>
      <c r="C45" s="217"/>
      <c r="D45" s="218"/>
      <c r="E45" s="219"/>
      <c r="F45" s="218"/>
      <c r="G45" s="220"/>
      <c r="H45" s="221"/>
      <c r="I45" s="220"/>
      <c r="J45" s="221"/>
      <c r="K45" s="220"/>
      <c r="L45" s="221"/>
      <c r="M45" s="220"/>
      <c r="N45" s="220"/>
      <c r="O45" s="220"/>
      <c r="P45" s="221"/>
      <c r="Q45" s="220"/>
      <c r="R45" s="220"/>
    </row>
    <row r="47" ht="15.75">
      <c r="B47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120" zoomScaleNormal="120" zoomScalePageLayoutView="0" workbookViewId="0" topLeftCell="A1">
      <pane ySplit="4" topLeftCell="A65" activePane="bottomLeft" state="frozen"/>
      <selection pane="topLeft" activeCell="A1" sqref="A1"/>
      <selection pane="bottomLeft" activeCell="H75" sqref="H75"/>
    </sheetView>
  </sheetViews>
  <sheetFormatPr defaultColWidth="9.140625" defaultRowHeight="12.75"/>
  <cols>
    <col min="1" max="1" width="4.28125" style="175" customWidth="1"/>
    <col min="2" max="2" width="33.140625" style="175" customWidth="1"/>
    <col min="3" max="3" width="7.140625" style="175" customWidth="1"/>
    <col min="4" max="4" width="10.57421875" style="175" customWidth="1"/>
    <col min="5" max="5" width="8.7109375" style="175" customWidth="1"/>
    <col min="6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8.57421875" style="175" customWidth="1"/>
    <col min="14" max="14" width="10.421875" style="175" customWidth="1"/>
    <col min="15" max="15" width="11.00390625" style="175" customWidth="1"/>
    <col min="16" max="16" width="5.57421875" style="175" customWidth="1"/>
    <col min="17" max="17" width="8.140625" style="175" customWidth="1"/>
    <col min="18" max="18" width="9.7109375" style="175" customWidth="1"/>
    <col min="19" max="16384" width="9.140625" style="175" customWidth="1"/>
  </cols>
  <sheetData>
    <row r="1" spans="1:18" ht="15.75">
      <c r="A1" s="316" t="s">
        <v>476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15.75" customHeight="1">
      <c r="A2" s="317" t="s">
        <v>0</v>
      </c>
      <c r="B2" s="317" t="s">
        <v>1</v>
      </c>
      <c r="C2" s="318" t="s">
        <v>2</v>
      </c>
      <c r="D2" s="319" t="s">
        <v>3</v>
      </c>
      <c r="E2" s="319"/>
      <c r="F2" s="319"/>
      <c r="G2" s="319" t="s">
        <v>7</v>
      </c>
      <c r="H2" s="319"/>
      <c r="I2" s="319"/>
      <c r="J2" s="319"/>
      <c r="K2" s="319" t="s">
        <v>9</v>
      </c>
      <c r="L2" s="319"/>
      <c r="M2" s="319"/>
      <c r="N2" s="319"/>
      <c r="O2" s="319" t="s">
        <v>10</v>
      </c>
      <c r="P2" s="319"/>
      <c r="Q2" s="319"/>
      <c r="R2" s="319"/>
    </row>
    <row r="3" spans="1:18" ht="14.25" customHeight="1">
      <c r="A3" s="317"/>
      <c r="B3" s="317"/>
      <c r="C3" s="318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5" customHeight="1">
      <c r="A4" s="177"/>
      <c r="B4" s="178" t="s">
        <v>11</v>
      </c>
      <c r="C4" s="179"/>
      <c r="D4" s="180">
        <f>E4+F4</f>
        <v>115152431.25999999</v>
      </c>
      <c r="E4" s="273">
        <f>SUM(E52+E71+E86+E88+E106)</f>
        <v>1007140</v>
      </c>
      <c r="F4" s="273">
        <f>SUM(F52+F71+F86+F88+F106)</f>
        <v>114145291.25999999</v>
      </c>
      <c r="G4" s="278">
        <f>I4+J4</f>
        <v>115148888.35000001</v>
      </c>
      <c r="H4" s="278">
        <f>G4*100/D4</f>
        <v>99.99692328684577</v>
      </c>
      <c r="I4" s="181">
        <f>SUM(I52+I71+I86+I88+I106)</f>
        <v>1007139.43</v>
      </c>
      <c r="J4" s="273">
        <f>SUM(J52+J71+J86+J88+J106)</f>
        <v>114141748.92</v>
      </c>
      <c r="K4" s="182">
        <f>M4+N4</f>
        <v>1.2820251527045912E-09</v>
      </c>
      <c r="L4" s="278">
        <f>K4*100/D4</f>
        <v>1.1133287753255825E-15</v>
      </c>
      <c r="M4" s="181">
        <f>SUM(M52+M71+M86+M88+M106)</f>
        <v>0</v>
      </c>
      <c r="N4" s="181">
        <f>SUM(N52+N71+N86+N88+N106)</f>
        <v>1.2820251527045912E-09</v>
      </c>
      <c r="O4" s="181">
        <f>Q4+R4</f>
        <v>3542.910000002243</v>
      </c>
      <c r="P4" s="181">
        <f>O4*100/D4</f>
        <v>0.0030767131542388275</v>
      </c>
      <c r="Q4" s="181">
        <f>SUM(Q52+Q71+Q86+Q88+Q106)</f>
        <v>0.5699999999487773</v>
      </c>
      <c r="R4" s="273">
        <f>SUM(R52+R71+R86+R88+R106)</f>
        <v>3542.3400000022943</v>
      </c>
    </row>
    <row r="5" spans="1:18" ht="18.75" customHeight="1">
      <c r="A5" s="229">
        <v>1</v>
      </c>
      <c r="B5" s="230" t="s">
        <v>444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75"/>
    </row>
    <row r="6" spans="1:18" ht="16.5" customHeight="1">
      <c r="A6" s="183"/>
      <c r="B6" s="188" t="s">
        <v>378</v>
      </c>
      <c r="C6" s="185"/>
      <c r="D6" s="186"/>
      <c r="E6" s="185"/>
      <c r="F6" s="186"/>
      <c r="G6" s="185"/>
      <c r="H6" s="226"/>
      <c r="I6" s="185"/>
      <c r="J6" s="187"/>
      <c r="K6" s="185"/>
      <c r="L6" s="185"/>
      <c r="M6" s="185"/>
      <c r="N6" s="185"/>
      <c r="O6" s="185"/>
      <c r="P6" s="185"/>
      <c r="Q6" s="185"/>
      <c r="R6" s="226"/>
    </row>
    <row r="7" spans="1:18" ht="16.5" customHeight="1">
      <c r="A7" s="183">
        <v>1.1</v>
      </c>
      <c r="B7" s="185" t="s">
        <v>279</v>
      </c>
      <c r="C7" s="190" t="s">
        <v>377</v>
      </c>
      <c r="D7" s="191">
        <f>F7+E7</f>
        <v>4438064.31</v>
      </c>
      <c r="E7" s="192"/>
      <c r="F7" s="191">
        <f>4443200-5135.69</f>
        <v>4438064.31</v>
      </c>
      <c r="G7" s="193">
        <f>J7+I7</f>
        <v>4438064.3100000005</v>
      </c>
      <c r="H7" s="286">
        <f>G7*100/D7</f>
        <v>100.00000000000003</v>
      </c>
      <c r="I7" s="193"/>
      <c r="J7" s="193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+350309.15+159740.2+99000+79990+33660+2080+263450.7+140090.7+25926+30838+3688+4547+4160+29533.88+8027</f>
        <v>4438064.3100000005</v>
      </c>
      <c r="K7" s="193">
        <f>N7+M7</f>
        <v>0</v>
      </c>
      <c r="L7" s="194">
        <f>K7*100/D7</f>
        <v>0</v>
      </c>
      <c r="M7" s="193"/>
      <c r="N7" s="193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+31380+13380+12013.5-159740.2-6007.2-20-15746.8-140090.7</f>
        <v>0</v>
      </c>
      <c r="O7" s="193">
        <f>D7-G7-K7</f>
        <v>-9.313225746154785E-10</v>
      </c>
      <c r="P7" s="193">
        <f>O7*100/D7</f>
        <v>-2.0984882362272002E-14</v>
      </c>
      <c r="Q7" s="193">
        <f>E7-I7-M7</f>
        <v>0</v>
      </c>
      <c r="R7" s="194">
        <f>F7-J7-N7</f>
        <v>-9.313225746154785E-10</v>
      </c>
    </row>
    <row r="8" spans="1:18" ht="16.5" customHeight="1">
      <c r="A8" s="183"/>
      <c r="B8" s="185" t="s">
        <v>379</v>
      </c>
      <c r="C8" s="185"/>
      <c r="D8" s="186"/>
      <c r="E8" s="185"/>
      <c r="F8" s="186"/>
      <c r="G8" s="185"/>
      <c r="H8" s="185"/>
      <c r="I8" s="185"/>
      <c r="J8" s="187"/>
      <c r="K8" s="185"/>
      <c r="L8" s="185"/>
      <c r="M8" s="185"/>
      <c r="N8" s="185"/>
      <c r="O8" s="185"/>
      <c r="P8" s="185"/>
      <c r="Q8" s="185"/>
      <c r="R8" s="226"/>
    </row>
    <row r="9" spans="1:18" ht="16.5" customHeight="1">
      <c r="A9" s="183"/>
      <c r="B9" s="188" t="s">
        <v>380</v>
      </c>
      <c r="C9" s="185"/>
      <c r="D9" s="186"/>
      <c r="E9" s="185"/>
      <c r="F9" s="186"/>
      <c r="G9" s="185"/>
      <c r="H9" s="185"/>
      <c r="I9" s="185"/>
      <c r="J9" s="187"/>
      <c r="K9" s="185"/>
      <c r="L9" s="185"/>
      <c r="M9" s="185"/>
      <c r="N9" s="185"/>
      <c r="O9" s="185"/>
      <c r="P9" s="185"/>
      <c r="Q9" s="185"/>
      <c r="R9" s="226"/>
    </row>
    <row r="10" spans="1:18" ht="16.5" customHeight="1">
      <c r="A10" s="183">
        <v>1.2</v>
      </c>
      <c r="B10" s="185" t="s">
        <v>381</v>
      </c>
      <c r="C10" s="190" t="s">
        <v>377</v>
      </c>
      <c r="D10" s="191">
        <f>F10+E10</f>
        <v>799978.89</v>
      </c>
      <c r="E10" s="192"/>
      <c r="F10" s="191">
        <f>800000-21-0.11</f>
        <v>799978.89</v>
      </c>
      <c r="G10" s="193">
        <f>J10+I10</f>
        <v>799978.89</v>
      </c>
      <c r="H10" s="286">
        <f>G10*100/D10</f>
        <v>100</v>
      </c>
      <c r="I10" s="193"/>
      <c r="J10" s="193">
        <f>24590+31500+53380+53380+55500+51980+116917+137340+34620+33540+125000+82231.89</f>
        <v>799978.89</v>
      </c>
      <c r="K10" s="193">
        <f>N10+M10</f>
        <v>0</v>
      </c>
      <c r="L10" s="194">
        <f>K10*100/D10</f>
        <v>0</v>
      </c>
      <c r="M10" s="193"/>
      <c r="N10" s="193">
        <f>28000+14000+21000+24000-31500-55500+25960+45000+54000+18000+50000+36240+19700+24120-51980+25720+15680-137340-20-60-125000-20</f>
        <v>0</v>
      </c>
      <c r="O10" s="193">
        <f>D10-G10-K10</f>
        <v>0</v>
      </c>
      <c r="P10" s="193">
        <f>O10*100/D10</f>
        <v>0</v>
      </c>
      <c r="Q10" s="193">
        <f>E10-I10-M10</f>
        <v>0</v>
      </c>
      <c r="R10" s="194">
        <f>F10-J10-N10</f>
        <v>0</v>
      </c>
    </row>
    <row r="11" spans="1:18" ht="16.5" customHeight="1">
      <c r="A11" s="183"/>
      <c r="B11" s="185" t="s">
        <v>382</v>
      </c>
      <c r="C11" s="185"/>
      <c r="D11" s="186"/>
      <c r="E11" s="185"/>
      <c r="F11" s="186"/>
      <c r="G11" s="185"/>
      <c r="H11" s="185"/>
      <c r="I11" s="185"/>
      <c r="J11" s="187"/>
      <c r="K11" s="185"/>
      <c r="L11" s="226"/>
      <c r="M11" s="185"/>
      <c r="N11" s="185"/>
      <c r="O11" s="185"/>
      <c r="P11" s="185"/>
      <c r="Q11" s="185"/>
      <c r="R11" s="226"/>
    </row>
    <row r="12" spans="1:18" ht="15.75" customHeight="1">
      <c r="A12" s="183"/>
      <c r="B12" s="188" t="s">
        <v>383</v>
      </c>
      <c r="C12" s="185"/>
      <c r="D12" s="186"/>
      <c r="E12" s="185"/>
      <c r="F12" s="186"/>
      <c r="G12" s="185"/>
      <c r="H12" s="185"/>
      <c r="I12" s="185"/>
      <c r="J12" s="187"/>
      <c r="K12" s="185"/>
      <c r="L12" s="226"/>
      <c r="M12" s="185"/>
      <c r="N12" s="185"/>
      <c r="O12" s="185"/>
      <c r="P12" s="185"/>
      <c r="Q12" s="185"/>
      <c r="R12" s="226"/>
    </row>
    <row r="13" spans="1:18" ht="16.5" customHeight="1">
      <c r="A13" s="183">
        <v>1.3</v>
      </c>
      <c r="B13" s="185" t="s">
        <v>197</v>
      </c>
      <c r="C13" s="190" t="s">
        <v>384</v>
      </c>
      <c r="D13" s="191">
        <f>F13+E13</f>
        <v>996767.85</v>
      </c>
      <c r="E13" s="223">
        <f>400000-147</f>
        <v>399853</v>
      </c>
      <c r="F13" s="191">
        <f>600000-3085-0.15</f>
        <v>596914.85</v>
      </c>
      <c r="G13" s="193">
        <f>J13+I13</f>
        <v>996767.85</v>
      </c>
      <c r="H13" s="286">
        <f>G13*100/D13</f>
        <v>100</v>
      </c>
      <c r="I13" s="193">
        <f>98526+98527+96000+96000+10800</f>
        <v>399853</v>
      </c>
      <c r="J13" s="193">
        <f>39746.7+20948+88680+15877.21+51070+21632.4+11671.65+19895.9+19895.9+56794+57984+67506.3+16618+3280+52995.6+5000+14662+32657.19</f>
        <v>596914.85</v>
      </c>
      <c r="K13" s="193">
        <f>N13+M13</f>
        <v>0</v>
      </c>
      <c r="L13" s="194">
        <f>K13*100/D13</f>
        <v>0</v>
      </c>
      <c r="M13" s="293"/>
      <c r="N13" s="193">
        <f>16618-16618</f>
        <v>0</v>
      </c>
      <c r="O13" s="193">
        <f>D13-G13-K13</f>
        <v>0</v>
      </c>
      <c r="P13" s="194">
        <f>O13*100/D13</f>
        <v>0</v>
      </c>
      <c r="Q13" s="194">
        <f>E13-I13-M13</f>
        <v>0</v>
      </c>
      <c r="R13" s="194">
        <f>F13-J13-N13</f>
        <v>0</v>
      </c>
    </row>
    <row r="14" spans="1:18" ht="18.75" customHeight="1">
      <c r="A14" s="233"/>
      <c r="B14" s="189" t="s">
        <v>370</v>
      </c>
      <c r="C14" s="189"/>
      <c r="D14" s="234"/>
      <c r="E14" s="189"/>
      <c r="F14" s="234"/>
      <c r="G14" s="189"/>
      <c r="H14" s="189"/>
      <c r="I14" s="189"/>
      <c r="J14" s="193"/>
      <c r="K14" s="189"/>
      <c r="L14" s="237"/>
      <c r="M14" s="189"/>
      <c r="N14" s="189"/>
      <c r="O14" s="189"/>
      <c r="P14" s="189"/>
      <c r="Q14" s="189"/>
      <c r="R14" s="237"/>
    </row>
    <row r="15" spans="1:18" ht="16.5" customHeight="1">
      <c r="A15" s="183"/>
      <c r="B15" s="188" t="s">
        <v>385</v>
      </c>
      <c r="C15" s="189"/>
      <c r="D15" s="234"/>
      <c r="E15" s="189"/>
      <c r="F15" s="234"/>
      <c r="G15" s="189"/>
      <c r="H15" s="189"/>
      <c r="I15" s="189"/>
      <c r="J15" s="193"/>
      <c r="K15" s="189"/>
      <c r="L15" s="237"/>
      <c r="M15" s="189"/>
      <c r="N15" s="189"/>
      <c r="O15" s="189"/>
      <c r="P15" s="189"/>
      <c r="Q15" s="189"/>
      <c r="R15" s="237"/>
    </row>
    <row r="16" spans="1:18" ht="18.75" customHeight="1">
      <c r="A16" s="183">
        <v>1.4</v>
      </c>
      <c r="B16" s="185" t="s">
        <v>386</v>
      </c>
      <c r="C16" s="190" t="s">
        <v>384</v>
      </c>
      <c r="D16" s="191">
        <f>F16+E16</f>
        <v>770998.92</v>
      </c>
      <c r="E16" s="192"/>
      <c r="F16" s="191">
        <f>771000-1-0.08</f>
        <v>770998.92</v>
      </c>
      <c r="G16" s="193">
        <f>J16+I16</f>
        <v>770998.92</v>
      </c>
      <c r="H16" s="286">
        <f>G16*100/D16</f>
        <v>100</v>
      </c>
      <c r="I16" s="193"/>
      <c r="J16" s="193">
        <f>49180+69409+96481+52054+225314.26+3600+30802.31+111054.4+68467.95+9200+20687+10241+24508</f>
        <v>770998.92</v>
      </c>
      <c r="K16" s="193">
        <f>N16+M16</f>
        <v>0</v>
      </c>
      <c r="L16" s="194">
        <f>K16*100/D16</f>
        <v>0</v>
      </c>
      <c r="M16" s="193"/>
      <c r="N16" s="193">
        <f>57054-5000+13512.6+54955.35-52054-68467.95</f>
        <v>0</v>
      </c>
      <c r="O16" s="193">
        <f>D16-G16-K16</f>
        <v>0</v>
      </c>
      <c r="P16" s="193">
        <f>O16*100/D16</f>
        <v>0</v>
      </c>
      <c r="Q16" s="193">
        <f>E16-I16-M16</f>
        <v>0</v>
      </c>
      <c r="R16" s="194">
        <f>F16-J16-N16</f>
        <v>0</v>
      </c>
    </row>
    <row r="17" spans="1:18" ht="18.75" customHeight="1">
      <c r="A17" s="233"/>
      <c r="B17" s="189" t="s">
        <v>387</v>
      </c>
      <c r="C17" s="189"/>
      <c r="D17" s="234"/>
      <c r="E17" s="189"/>
      <c r="F17" s="234"/>
      <c r="G17" s="189"/>
      <c r="H17" s="189"/>
      <c r="I17" s="189"/>
      <c r="J17" s="193"/>
      <c r="K17" s="189"/>
      <c r="L17" s="237"/>
      <c r="M17" s="189"/>
      <c r="N17" s="189"/>
      <c r="O17" s="189"/>
      <c r="P17" s="189"/>
      <c r="Q17" s="189"/>
      <c r="R17" s="237"/>
    </row>
    <row r="18" spans="1:18" ht="18.75" customHeight="1">
      <c r="A18" s="233"/>
      <c r="B18" s="189" t="s">
        <v>388</v>
      </c>
      <c r="C18" s="189"/>
      <c r="D18" s="234"/>
      <c r="E18" s="189"/>
      <c r="F18" s="234"/>
      <c r="G18" s="189"/>
      <c r="H18" s="189"/>
      <c r="I18" s="189"/>
      <c r="J18" s="193"/>
      <c r="K18" s="189"/>
      <c r="L18" s="237"/>
      <c r="M18" s="189"/>
      <c r="N18" s="189"/>
      <c r="O18" s="189"/>
      <c r="P18" s="189"/>
      <c r="Q18" s="189"/>
      <c r="R18" s="237"/>
    </row>
    <row r="19" spans="1:18" ht="16.5" customHeight="1">
      <c r="A19" s="183"/>
      <c r="B19" s="188" t="s">
        <v>389</v>
      </c>
      <c r="C19" s="189"/>
      <c r="D19" s="234"/>
      <c r="E19" s="189"/>
      <c r="F19" s="234"/>
      <c r="G19" s="189"/>
      <c r="H19" s="189"/>
      <c r="I19" s="189"/>
      <c r="J19" s="193"/>
      <c r="K19" s="189"/>
      <c r="L19" s="237"/>
      <c r="M19" s="189"/>
      <c r="N19" s="189"/>
      <c r="O19" s="189"/>
      <c r="P19" s="189"/>
      <c r="Q19" s="189"/>
      <c r="R19" s="237"/>
    </row>
    <row r="20" spans="1:18" ht="18.75" customHeight="1">
      <c r="A20" s="235">
        <v>1.5</v>
      </c>
      <c r="B20" s="185" t="s">
        <v>390</v>
      </c>
      <c r="C20" s="190" t="s">
        <v>384</v>
      </c>
      <c r="D20" s="191">
        <f>F20+E20</f>
        <v>1917823.55</v>
      </c>
      <c r="E20" s="192"/>
      <c r="F20" s="191">
        <f>1918000-176-0.45</f>
        <v>1917823.55</v>
      </c>
      <c r="G20" s="193">
        <f>J20+I20</f>
        <v>1917823.55</v>
      </c>
      <c r="H20" s="286">
        <f>G20*100/D20</f>
        <v>100</v>
      </c>
      <c r="I20" s="193"/>
      <c r="J20" s="193">
        <f>100760+138818+108748+99271+2400+53286.59+99214.78+364081.3+192459.3+33450.58+99890+23000+450023+7700+84699+23350+11372+25300</f>
        <v>1917823.55</v>
      </c>
      <c r="K20" s="193">
        <f>N20+M20</f>
        <v>0</v>
      </c>
      <c r="L20" s="194">
        <f>K20*100/D20</f>
        <v>0</v>
      </c>
      <c r="M20" s="193"/>
      <c r="N20" s="193">
        <f>108828-80+9010.8+160918+40554-108748-18023.5-192459.3</f>
        <v>0</v>
      </c>
      <c r="O20" s="193">
        <f>D20-G20-K20</f>
        <v>0</v>
      </c>
      <c r="P20" s="193">
        <f>O20*100/D20</f>
        <v>0</v>
      </c>
      <c r="Q20" s="193">
        <f>E20-I20-M20</f>
        <v>0</v>
      </c>
      <c r="R20" s="194">
        <f>F20-J20-N20</f>
        <v>0</v>
      </c>
    </row>
    <row r="21" spans="1:18" ht="18.75" customHeight="1">
      <c r="A21" s="233"/>
      <c r="B21" s="189" t="s">
        <v>391</v>
      </c>
      <c r="C21" s="189"/>
      <c r="D21" s="234"/>
      <c r="E21" s="189"/>
      <c r="F21" s="234"/>
      <c r="G21" s="189"/>
      <c r="H21" s="189"/>
      <c r="I21" s="189"/>
      <c r="J21" s="193"/>
      <c r="K21" s="189"/>
      <c r="L21" s="237"/>
      <c r="M21" s="189"/>
      <c r="N21" s="189"/>
      <c r="O21" s="189"/>
      <c r="P21" s="189"/>
      <c r="Q21" s="189"/>
      <c r="R21" s="237"/>
    </row>
    <row r="22" spans="1:18" ht="18.75" customHeight="1">
      <c r="A22" s="233"/>
      <c r="B22" s="189" t="s">
        <v>388</v>
      </c>
      <c r="C22" s="189"/>
      <c r="D22" s="234"/>
      <c r="E22" s="189"/>
      <c r="F22" s="234"/>
      <c r="G22" s="189"/>
      <c r="H22" s="189"/>
      <c r="I22" s="189"/>
      <c r="J22" s="193"/>
      <c r="K22" s="189"/>
      <c r="L22" s="237"/>
      <c r="M22" s="189"/>
      <c r="N22" s="189"/>
      <c r="O22" s="189"/>
      <c r="P22" s="189"/>
      <c r="Q22" s="189"/>
      <c r="R22" s="237"/>
    </row>
    <row r="23" spans="1:18" ht="18.75" customHeight="1">
      <c r="A23" s="183"/>
      <c r="B23" s="188" t="s">
        <v>392</v>
      </c>
      <c r="C23" s="189"/>
      <c r="D23" s="234"/>
      <c r="E23" s="189"/>
      <c r="F23" s="234"/>
      <c r="G23" s="189"/>
      <c r="H23" s="189"/>
      <c r="I23" s="189"/>
      <c r="J23" s="193"/>
      <c r="K23" s="189"/>
      <c r="L23" s="237"/>
      <c r="M23" s="189"/>
      <c r="N23" s="189"/>
      <c r="O23" s="189"/>
      <c r="P23" s="189"/>
      <c r="Q23" s="189"/>
      <c r="R23" s="237"/>
    </row>
    <row r="24" spans="1:18" ht="18.75" customHeight="1">
      <c r="A24" s="235">
        <v>1.6</v>
      </c>
      <c r="B24" s="185" t="s">
        <v>429</v>
      </c>
      <c r="C24" s="190" t="s">
        <v>384</v>
      </c>
      <c r="D24" s="191">
        <f>F24+E24</f>
        <v>621082.66</v>
      </c>
      <c r="E24" s="192"/>
      <c r="F24" s="191">
        <f>621100-17-0.34</f>
        <v>621082.66</v>
      </c>
      <c r="G24" s="193">
        <f>J24+I24</f>
        <v>621082.66</v>
      </c>
      <c r="H24" s="286">
        <f>G24*100/D24</f>
        <v>100</v>
      </c>
      <c r="I24" s="193"/>
      <c r="J24" s="193">
        <f>31020+119240.1+33962.18+114508.35+202062.03+11000+88840+20450</f>
        <v>621082.66</v>
      </c>
      <c r="K24" s="193">
        <f>N24+M24</f>
        <v>0</v>
      </c>
      <c r="L24" s="194">
        <f>K24*100/D24</f>
        <v>0</v>
      </c>
      <c r="M24" s="193"/>
      <c r="N24" s="193"/>
      <c r="O24" s="193">
        <f>D24-G24-K24</f>
        <v>0</v>
      </c>
      <c r="P24" s="193">
        <f>O24*100/D24</f>
        <v>0</v>
      </c>
      <c r="Q24" s="193">
        <f>E24-I24-M24</f>
        <v>0</v>
      </c>
      <c r="R24" s="194">
        <f>F24-J24-N24</f>
        <v>0</v>
      </c>
    </row>
    <row r="25" spans="1:18" ht="18.75" customHeight="1">
      <c r="A25" s="233"/>
      <c r="B25" s="189" t="s">
        <v>393</v>
      </c>
      <c r="C25" s="189"/>
      <c r="D25" s="234"/>
      <c r="E25" s="189"/>
      <c r="F25" s="234"/>
      <c r="G25" s="189"/>
      <c r="H25" s="189"/>
      <c r="I25" s="189"/>
      <c r="J25" s="193"/>
      <c r="K25" s="189"/>
      <c r="L25" s="237"/>
      <c r="M25" s="189"/>
      <c r="N25" s="189"/>
      <c r="O25" s="189"/>
      <c r="P25" s="189"/>
      <c r="Q25" s="189"/>
      <c r="R25" s="237"/>
    </row>
    <row r="26" spans="1:18" ht="17.25" customHeight="1">
      <c r="A26" s="233"/>
      <c r="B26" s="189" t="s">
        <v>211</v>
      </c>
      <c r="C26" s="189"/>
      <c r="D26" s="234"/>
      <c r="E26" s="189"/>
      <c r="F26" s="234"/>
      <c r="G26" s="189"/>
      <c r="H26" s="189"/>
      <c r="I26" s="189"/>
      <c r="J26" s="193"/>
      <c r="K26" s="189"/>
      <c r="L26" s="237"/>
      <c r="M26" s="189"/>
      <c r="N26" s="189"/>
      <c r="O26" s="189"/>
      <c r="P26" s="189"/>
      <c r="Q26" s="189"/>
      <c r="R26" s="237"/>
    </row>
    <row r="27" spans="1:18" ht="16.5" customHeight="1">
      <c r="A27" s="183"/>
      <c r="B27" s="188" t="s">
        <v>394</v>
      </c>
      <c r="C27" s="189"/>
      <c r="D27" s="234"/>
      <c r="E27" s="189"/>
      <c r="F27" s="234"/>
      <c r="G27" s="189"/>
      <c r="H27" s="189"/>
      <c r="I27" s="189"/>
      <c r="J27" s="193"/>
      <c r="K27" s="189"/>
      <c r="L27" s="237"/>
      <c r="M27" s="189"/>
      <c r="N27" s="189"/>
      <c r="O27" s="189"/>
      <c r="P27" s="189"/>
      <c r="Q27" s="189"/>
      <c r="R27" s="237"/>
    </row>
    <row r="28" spans="1:18" ht="18.75" customHeight="1">
      <c r="A28" s="235">
        <v>1.7</v>
      </c>
      <c r="B28" s="185" t="s">
        <v>395</v>
      </c>
      <c r="C28" s="190" t="s">
        <v>384</v>
      </c>
      <c r="D28" s="191">
        <f>F28+E28</f>
        <v>382069.31</v>
      </c>
      <c r="E28" s="192"/>
      <c r="F28" s="191">
        <f>382100-30-0.69</f>
        <v>382069.31</v>
      </c>
      <c r="G28" s="193">
        <f>J28+I28</f>
        <v>382069.31</v>
      </c>
      <c r="H28" s="286">
        <f>G28*100/D28</f>
        <v>100</v>
      </c>
      <c r="I28" s="193"/>
      <c r="J28" s="193">
        <f>175434.08+5121+2080+72868.95+39997+2020+5024+3241.03+70976.25+5307</f>
        <v>382069.31</v>
      </c>
      <c r="K28" s="193">
        <f>N28+M28</f>
        <v>0</v>
      </c>
      <c r="L28" s="194">
        <f>K28*100/D28</f>
        <v>0</v>
      </c>
      <c r="M28" s="193"/>
      <c r="N28" s="193"/>
      <c r="O28" s="193">
        <f>D28-G28-K28</f>
        <v>0</v>
      </c>
      <c r="P28" s="193">
        <f>O28*100/D28</f>
        <v>0</v>
      </c>
      <c r="Q28" s="193">
        <f>E28-I28-M28</f>
        <v>0</v>
      </c>
      <c r="R28" s="194">
        <f>F28-J28-N28</f>
        <v>0</v>
      </c>
    </row>
    <row r="29" spans="1:18" ht="16.5" customHeight="1">
      <c r="A29" s="233"/>
      <c r="B29" s="189" t="s">
        <v>396</v>
      </c>
      <c r="C29" s="189"/>
      <c r="D29" s="234"/>
      <c r="E29" s="189"/>
      <c r="F29" s="234"/>
      <c r="G29" s="189"/>
      <c r="H29" s="189"/>
      <c r="I29" s="189"/>
      <c r="J29" s="193"/>
      <c r="K29" s="189"/>
      <c r="L29" s="237"/>
      <c r="M29" s="189"/>
      <c r="N29" s="189"/>
      <c r="O29" s="189"/>
      <c r="P29" s="189"/>
      <c r="Q29" s="189"/>
      <c r="R29" s="237"/>
    </row>
    <row r="30" spans="1:18" ht="16.5" customHeight="1">
      <c r="A30" s="233"/>
      <c r="B30" s="189" t="s">
        <v>397</v>
      </c>
      <c r="C30" s="189"/>
      <c r="D30" s="234"/>
      <c r="E30" s="189"/>
      <c r="F30" s="234"/>
      <c r="G30" s="189"/>
      <c r="H30" s="189"/>
      <c r="I30" s="189"/>
      <c r="J30" s="193"/>
      <c r="K30" s="189"/>
      <c r="L30" s="237"/>
      <c r="M30" s="189"/>
      <c r="N30" s="189"/>
      <c r="O30" s="189"/>
      <c r="P30" s="189"/>
      <c r="Q30" s="189"/>
      <c r="R30" s="237"/>
    </row>
    <row r="31" spans="1:18" ht="15.75" customHeight="1">
      <c r="A31" s="183"/>
      <c r="B31" s="188" t="s">
        <v>398</v>
      </c>
      <c r="C31" s="189"/>
      <c r="D31" s="234"/>
      <c r="E31" s="189"/>
      <c r="F31" s="234"/>
      <c r="G31" s="189"/>
      <c r="H31" s="189"/>
      <c r="I31" s="189"/>
      <c r="J31" s="193"/>
      <c r="K31" s="189"/>
      <c r="L31" s="237"/>
      <c r="M31" s="189"/>
      <c r="N31" s="189"/>
      <c r="O31" s="189"/>
      <c r="P31" s="189"/>
      <c r="Q31" s="189"/>
      <c r="R31" s="237"/>
    </row>
    <row r="32" spans="1:18" ht="17.25" customHeight="1">
      <c r="A32" s="235">
        <v>1.8</v>
      </c>
      <c r="B32" s="185" t="s">
        <v>214</v>
      </c>
      <c r="C32" s="190" t="s">
        <v>384</v>
      </c>
      <c r="D32" s="191">
        <f>F32+E32</f>
        <v>955617.58</v>
      </c>
      <c r="E32" s="192"/>
      <c r="F32" s="191">
        <f>956000-382-0.42</f>
        <v>955617.58</v>
      </c>
      <c r="G32" s="193">
        <f>J32+I32</f>
        <v>955617.5800000001</v>
      </c>
      <c r="H32" s="286">
        <f>G32*100/D32</f>
        <v>100</v>
      </c>
      <c r="I32" s="193"/>
      <c r="J32" s="193">
        <f>34699.5+34792.6+30782.18+64690+99745+63730+138840+40325.2+2702.7+76349.9+38390.5+288130+42440</f>
        <v>955617.5800000001</v>
      </c>
      <c r="K32" s="193">
        <f>N32+M32</f>
        <v>8.732570222491631E-12</v>
      </c>
      <c r="L32" s="194">
        <f>K32*100/D32</f>
        <v>9.138143128856662E-16</v>
      </c>
      <c r="M32" s="193"/>
      <c r="N32" s="193">
        <f>127920+71456.7+16200-34792.6-105040+3002.7+3000-40325.2-2702.7-300-38390.5-28.4</f>
        <v>8.732570222491631E-12</v>
      </c>
      <c r="O32" s="193">
        <f>D32-G32-K32</f>
        <v>-1.2514789204942645E-10</v>
      </c>
      <c r="P32" s="193">
        <f>O32*100/D32</f>
        <v>-1.3096022370101904E-14</v>
      </c>
      <c r="Q32" s="193">
        <f>E32-I32-M32</f>
        <v>0</v>
      </c>
      <c r="R32" s="194">
        <f>F32-J32-N32</f>
        <v>-1.2514789204942645E-10</v>
      </c>
    </row>
    <row r="33" spans="1:18" ht="16.5" customHeight="1">
      <c r="A33" s="233"/>
      <c r="B33" s="189" t="s">
        <v>215</v>
      </c>
      <c r="C33" s="189"/>
      <c r="D33" s="234"/>
      <c r="E33" s="189"/>
      <c r="F33" s="234"/>
      <c r="G33" s="189"/>
      <c r="H33" s="189"/>
      <c r="I33" s="189"/>
      <c r="J33" s="193"/>
      <c r="K33" s="189"/>
      <c r="L33" s="237"/>
      <c r="M33" s="189"/>
      <c r="N33" s="189"/>
      <c r="O33" s="189"/>
      <c r="P33" s="189"/>
      <c r="Q33" s="189"/>
      <c r="R33" s="237"/>
    </row>
    <row r="34" spans="1:18" ht="17.25" customHeight="1">
      <c r="A34" s="233"/>
      <c r="B34" s="189" t="s">
        <v>201</v>
      </c>
      <c r="C34" s="189"/>
      <c r="D34" s="234"/>
      <c r="E34" s="189"/>
      <c r="F34" s="234"/>
      <c r="G34" s="189"/>
      <c r="H34" s="189"/>
      <c r="I34" s="189"/>
      <c r="J34" s="193"/>
      <c r="K34" s="189"/>
      <c r="L34" s="237"/>
      <c r="M34" s="189"/>
      <c r="N34" s="189"/>
      <c r="O34" s="189"/>
      <c r="P34" s="189"/>
      <c r="Q34" s="189"/>
      <c r="R34" s="237"/>
    </row>
    <row r="35" spans="1:19" ht="16.5" customHeight="1">
      <c r="A35" s="183"/>
      <c r="B35" s="188" t="s">
        <v>399</v>
      </c>
      <c r="C35" s="189"/>
      <c r="D35" s="234"/>
      <c r="E35" s="189"/>
      <c r="F35" s="234"/>
      <c r="G35" s="189"/>
      <c r="H35" s="189"/>
      <c r="I35" s="189"/>
      <c r="J35" s="193"/>
      <c r="K35" s="189"/>
      <c r="L35" s="237"/>
      <c r="M35" s="189"/>
      <c r="N35" s="189"/>
      <c r="O35" s="189"/>
      <c r="P35" s="189"/>
      <c r="Q35" s="189"/>
      <c r="R35" s="237"/>
      <c r="S35" s="175">
        <v>2</v>
      </c>
    </row>
    <row r="36" spans="1:18" ht="17.25" customHeight="1">
      <c r="A36" s="235">
        <v>1.9</v>
      </c>
      <c r="B36" s="185" t="s">
        <v>14</v>
      </c>
      <c r="C36" s="190" t="s">
        <v>384</v>
      </c>
      <c r="D36" s="191">
        <f>F36+E36</f>
        <v>477552.5</v>
      </c>
      <c r="E36" s="192"/>
      <c r="F36" s="191">
        <f>478000-447-0.5</f>
        <v>477552.5</v>
      </c>
      <c r="G36" s="193">
        <f>J36+I36</f>
        <v>477552.5</v>
      </c>
      <c r="H36" s="286">
        <f>G36*100/D36</f>
        <v>100</v>
      </c>
      <c r="I36" s="193"/>
      <c r="J36" s="193">
        <f>3520+5176+35550+35900+24000+30000+46828+30000+48554+34704.5+24000+157000+2320</f>
        <v>477552.5</v>
      </c>
      <c r="K36" s="193">
        <f>N36+M36</f>
        <v>0</v>
      </c>
      <c r="L36" s="194">
        <f>K36*100/D36</f>
        <v>0</v>
      </c>
      <c r="M36" s="193"/>
      <c r="N36" s="193">
        <f>19680+48000-3520-16160-24000-24000</f>
        <v>0</v>
      </c>
      <c r="O36" s="193">
        <f>D36-G36-K36</f>
        <v>0</v>
      </c>
      <c r="P36" s="193">
        <f>O36*100/D36</f>
        <v>0</v>
      </c>
      <c r="Q36" s="193">
        <f>E36-I36-M36</f>
        <v>0</v>
      </c>
      <c r="R36" s="194">
        <f>F36-J36-N36</f>
        <v>0</v>
      </c>
    </row>
    <row r="37" spans="1:18" ht="18.75" customHeight="1">
      <c r="A37" s="233"/>
      <c r="B37" s="189" t="s">
        <v>400</v>
      </c>
      <c r="C37" s="189"/>
      <c r="D37" s="236"/>
      <c r="E37" s="189"/>
      <c r="F37" s="234"/>
      <c r="G37" s="189"/>
      <c r="H37" s="189"/>
      <c r="I37" s="189"/>
      <c r="J37" s="193"/>
      <c r="K37" s="189"/>
      <c r="L37" s="237"/>
      <c r="M37" s="189"/>
      <c r="N37" s="189"/>
      <c r="O37" s="189"/>
      <c r="P37" s="189"/>
      <c r="Q37" s="189"/>
      <c r="R37" s="237"/>
    </row>
    <row r="38" spans="1:18" ht="18" customHeight="1">
      <c r="A38" s="233"/>
      <c r="B38" s="189" t="s">
        <v>299</v>
      </c>
      <c r="C38" s="189"/>
      <c r="D38" s="234"/>
      <c r="E38" s="189"/>
      <c r="F38" s="234"/>
      <c r="G38" s="189"/>
      <c r="H38" s="189"/>
      <c r="I38" s="189"/>
      <c r="J38" s="193"/>
      <c r="K38" s="189"/>
      <c r="L38" s="237"/>
      <c r="M38" s="189"/>
      <c r="N38" s="189"/>
      <c r="O38" s="189"/>
      <c r="P38" s="189"/>
      <c r="Q38" s="189"/>
      <c r="R38" s="237"/>
    </row>
    <row r="39" spans="1:18" ht="16.5" customHeight="1">
      <c r="A39" s="233"/>
      <c r="B39" s="189" t="s">
        <v>211</v>
      </c>
      <c r="C39" s="189"/>
      <c r="D39" s="234"/>
      <c r="E39" s="189"/>
      <c r="F39" s="234"/>
      <c r="G39" s="189"/>
      <c r="H39" s="189"/>
      <c r="I39" s="189"/>
      <c r="J39" s="193"/>
      <c r="K39" s="189"/>
      <c r="L39" s="237"/>
      <c r="M39" s="189"/>
      <c r="N39" s="189"/>
      <c r="O39" s="189"/>
      <c r="P39" s="189"/>
      <c r="Q39" s="189"/>
      <c r="R39" s="237"/>
    </row>
    <row r="40" spans="1:18" ht="16.5" customHeight="1">
      <c r="A40" s="183"/>
      <c r="B40" s="188" t="s">
        <v>431</v>
      </c>
      <c r="C40" s="189"/>
      <c r="D40" s="234"/>
      <c r="E40" s="189"/>
      <c r="F40" s="234"/>
      <c r="G40" s="189"/>
      <c r="H40" s="189"/>
      <c r="I40" s="189"/>
      <c r="J40" s="193"/>
      <c r="K40" s="189"/>
      <c r="L40" s="237"/>
      <c r="M40" s="189"/>
      <c r="N40" s="189"/>
      <c r="O40" s="189"/>
      <c r="P40" s="189"/>
      <c r="Q40" s="189"/>
      <c r="R40" s="237"/>
    </row>
    <row r="41" spans="1:18" ht="16.5" customHeight="1">
      <c r="A41" s="215">
        <v>1.1</v>
      </c>
      <c r="B41" s="189" t="s">
        <v>430</v>
      </c>
      <c r="C41" s="190" t="s">
        <v>433</v>
      </c>
      <c r="D41" s="191">
        <f>F41+E41</f>
        <v>3443897.95</v>
      </c>
      <c r="E41" s="192"/>
      <c r="F41" s="191">
        <f>3444000-102.05</f>
        <v>3443897.95</v>
      </c>
      <c r="G41" s="193">
        <f>J41+I41</f>
        <v>3443897.9499999997</v>
      </c>
      <c r="H41" s="286">
        <f>G41*100/D41</f>
        <v>100</v>
      </c>
      <c r="I41" s="193"/>
      <c r="J41" s="193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+29025.4+6000+26497.8+6000</f>
        <v>3443897.9499999997</v>
      </c>
      <c r="K41" s="193">
        <f>N41+M41</f>
        <v>-1.4551915228366852E-10</v>
      </c>
      <c r="L41" s="194">
        <f>K41*100/D41</f>
        <v>-4.225419986201058E-15</v>
      </c>
      <c r="M41" s="193"/>
      <c r="N41" s="193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-47000-45.5-6000-6000</f>
        <v>-1.4551915228366852E-10</v>
      </c>
      <c r="O41" s="193">
        <f>D41-G41-K41</f>
        <v>6.111804395914078E-10</v>
      </c>
      <c r="P41" s="193">
        <f>O41*100/D41</f>
        <v>1.7746763942044442E-14</v>
      </c>
      <c r="Q41" s="193">
        <f>E41-I41-M41</f>
        <v>0</v>
      </c>
      <c r="R41" s="194">
        <f>F41-J41-N41</f>
        <v>6.111804395914078E-10</v>
      </c>
    </row>
    <row r="42" spans="1:18" ht="18.75" customHeight="1">
      <c r="A42" s="233"/>
      <c r="B42" s="237" t="s">
        <v>432</v>
      </c>
      <c r="C42" s="189"/>
      <c r="D42" s="234"/>
      <c r="E42" s="189"/>
      <c r="F42" s="234"/>
      <c r="G42" s="189"/>
      <c r="H42" s="189"/>
      <c r="I42" s="189"/>
      <c r="J42" s="193"/>
      <c r="K42" s="189"/>
      <c r="L42" s="237"/>
      <c r="M42" s="189"/>
      <c r="N42" s="189"/>
      <c r="O42" s="189"/>
      <c r="P42" s="189"/>
      <c r="Q42" s="189"/>
      <c r="R42" s="237"/>
    </row>
    <row r="43" spans="1:18" ht="18.75" customHeight="1">
      <c r="A43" s="233"/>
      <c r="B43" s="189" t="s">
        <v>211</v>
      </c>
      <c r="C43" s="189"/>
      <c r="D43" s="234"/>
      <c r="E43" s="189"/>
      <c r="F43" s="234"/>
      <c r="G43" s="189"/>
      <c r="H43" s="189"/>
      <c r="I43" s="189"/>
      <c r="J43" s="193"/>
      <c r="K43" s="189"/>
      <c r="L43" s="237"/>
      <c r="M43" s="189"/>
      <c r="N43" s="189"/>
      <c r="O43" s="189"/>
      <c r="P43" s="189"/>
      <c r="Q43" s="189"/>
      <c r="R43" s="237"/>
    </row>
    <row r="44" spans="1:18" ht="18" customHeight="1">
      <c r="A44" s="233"/>
      <c r="B44" s="188" t="s">
        <v>445</v>
      </c>
      <c r="C44" s="189"/>
      <c r="D44" s="234"/>
      <c r="E44" s="189"/>
      <c r="F44" s="234"/>
      <c r="G44" s="189"/>
      <c r="H44" s="189"/>
      <c r="I44" s="189"/>
      <c r="J44" s="193"/>
      <c r="K44" s="189"/>
      <c r="L44" s="237"/>
      <c r="M44" s="189"/>
      <c r="N44" s="189"/>
      <c r="O44" s="189"/>
      <c r="P44" s="189"/>
      <c r="Q44" s="189"/>
      <c r="R44" s="237"/>
    </row>
    <row r="45" spans="1:18" ht="18" customHeight="1">
      <c r="A45" s="215">
        <v>1.11</v>
      </c>
      <c r="B45" s="189" t="s">
        <v>434</v>
      </c>
      <c r="C45" s="190" t="s">
        <v>433</v>
      </c>
      <c r="D45" s="191">
        <f>F45+E45</f>
        <v>3128839.65</v>
      </c>
      <c r="E45" s="192"/>
      <c r="F45" s="191">
        <f>3129000-160.35</f>
        <v>3128839.65</v>
      </c>
      <c r="G45" s="193">
        <f>J45+I45</f>
        <v>3128839.6500000004</v>
      </c>
      <c r="H45" s="286">
        <f>G45*100/D45</f>
        <v>100.00000000000003</v>
      </c>
      <c r="I45" s="193"/>
      <c r="J45" s="193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5" s="193">
        <f>N45+M45</f>
        <v>0</v>
      </c>
      <c r="L45" s="194">
        <f>K45*100/D45</f>
        <v>0</v>
      </c>
      <c r="M45" s="193"/>
      <c r="N45" s="193">
        <f>11760+28843.2-14654.4-25948.8+72075.6+9000-24025.2-33025.2-23023.4+20790-1001.8-20790</f>
        <v>0</v>
      </c>
      <c r="O45" s="193">
        <f>D45-G45-K45</f>
        <v>-4.656612873077393E-10</v>
      </c>
      <c r="P45" s="193">
        <f>O45*100/D45</f>
        <v>-1.4882874784194814E-14</v>
      </c>
      <c r="Q45" s="193">
        <f>E45-I45-M45</f>
        <v>0</v>
      </c>
      <c r="R45" s="194">
        <f>F45-J45-N45</f>
        <v>-4.656612873077393E-10</v>
      </c>
    </row>
    <row r="46" spans="1:18" ht="18" customHeight="1">
      <c r="A46" s="233"/>
      <c r="B46" s="189" t="s">
        <v>435</v>
      </c>
      <c r="C46" s="189"/>
      <c r="D46" s="234"/>
      <c r="E46" s="189"/>
      <c r="F46" s="234"/>
      <c r="G46" s="189"/>
      <c r="H46" s="189"/>
      <c r="I46" s="189"/>
      <c r="J46" s="193"/>
      <c r="K46" s="189"/>
      <c r="L46" s="237"/>
      <c r="M46" s="189"/>
      <c r="N46" s="189"/>
      <c r="O46" s="189"/>
      <c r="P46" s="189"/>
      <c r="Q46" s="189"/>
      <c r="R46" s="237"/>
    </row>
    <row r="47" spans="1:18" ht="18.75" customHeight="1">
      <c r="A47" s="233"/>
      <c r="B47" s="189" t="s">
        <v>436</v>
      </c>
      <c r="C47" s="189"/>
      <c r="D47" s="234"/>
      <c r="E47" s="189"/>
      <c r="F47" s="234"/>
      <c r="G47" s="189"/>
      <c r="H47" s="189"/>
      <c r="I47" s="189"/>
      <c r="J47" s="193"/>
      <c r="K47" s="189"/>
      <c r="L47" s="237"/>
      <c r="M47" s="189"/>
      <c r="N47" s="189"/>
      <c r="O47" s="189"/>
      <c r="P47" s="189"/>
      <c r="Q47" s="189"/>
      <c r="R47" s="237"/>
    </row>
    <row r="48" spans="1:18" ht="18.75" customHeight="1">
      <c r="A48" s="233"/>
      <c r="B48" s="188" t="s">
        <v>437</v>
      </c>
      <c r="C48" s="189"/>
      <c r="D48" s="234"/>
      <c r="E48" s="189"/>
      <c r="F48" s="234"/>
      <c r="G48" s="189"/>
      <c r="H48" s="189"/>
      <c r="I48" s="189"/>
      <c r="J48" s="193"/>
      <c r="K48" s="189"/>
      <c r="L48" s="237"/>
      <c r="M48" s="189"/>
      <c r="N48" s="189"/>
      <c r="O48" s="189"/>
      <c r="P48" s="189"/>
      <c r="Q48" s="189"/>
      <c r="R48" s="237"/>
    </row>
    <row r="49" spans="1:18" ht="18.75" customHeight="1">
      <c r="A49" s="233">
        <v>1.12</v>
      </c>
      <c r="B49" s="189" t="s">
        <v>440</v>
      </c>
      <c r="C49" s="190" t="s">
        <v>443</v>
      </c>
      <c r="D49" s="191">
        <f>F49+E49</f>
        <v>2255024.24</v>
      </c>
      <c r="E49" s="223">
        <v>607287</v>
      </c>
      <c r="F49" s="191">
        <f>1649200-1462.76</f>
        <v>1647737.24</v>
      </c>
      <c r="G49" s="193">
        <f>J49+I49</f>
        <v>2255024.2399999998</v>
      </c>
      <c r="H49" s="286">
        <f>G49*100/D49</f>
        <v>99.99999999999997</v>
      </c>
      <c r="I49" s="193">
        <v>607286.43</v>
      </c>
      <c r="J49" s="193">
        <f>98960+71025+236604.6+9000+29260+33900+9779.8+69990+41220+356749.58+9996+193072.5+39880+79955+113261.55+27840+32580+6957+4450.4+3415+8000.9+32940+4400.4+67359.18+7652.6+4513+7305.3+4413+8000.9+4600.4+18750+7305.3+4600.4</f>
        <v>1647737.8099999996</v>
      </c>
      <c r="K49" s="193">
        <f>N49+M49</f>
        <v>0</v>
      </c>
      <c r="L49" s="194">
        <f>K49*100/D49</f>
        <v>0</v>
      </c>
      <c r="M49" s="194"/>
      <c r="N49" s="193">
        <f>60140+9000-9000-29260+9000+22240-39880+5600-27840+26978-4450.4-4400.4-4513-4413-4600.4-0.4-4600.4</f>
        <v>0</v>
      </c>
      <c r="O49" s="193">
        <f>D49-G49-K49</f>
        <v>4.656612873077393E-10</v>
      </c>
      <c r="P49" s="193">
        <f>O49*100/D49</f>
        <v>2.0649945976090228E-14</v>
      </c>
      <c r="Q49" s="193">
        <f>E49-I49-M49</f>
        <v>0.5699999999487773</v>
      </c>
      <c r="R49" s="194">
        <f>F49-J49-N49</f>
        <v>-0.5699999995995313</v>
      </c>
    </row>
    <row r="50" spans="1:18" ht="18.75" customHeight="1">
      <c r="A50" s="233"/>
      <c r="B50" s="189" t="s">
        <v>441</v>
      </c>
      <c r="C50" s="189"/>
      <c r="D50" s="234"/>
      <c r="E50" s="237"/>
      <c r="F50" s="234"/>
      <c r="G50" s="189"/>
      <c r="H50" s="311"/>
      <c r="I50" s="189"/>
      <c r="J50" s="193"/>
      <c r="K50" s="189"/>
      <c r="L50" s="237"/>
      <c r="M50" s="237"/>
      <c r="N50" s="189"/>
      <c r="O50" s="189"/>
      <c r="P50" s="189"/>
      <c r="Q50" s="189"/>
      <c r="R50" s="237"/>
    </row>
    <row r="51" spans="1:18" ht="18.75" customHeight="1">
      <c r="A51" s="233"/>
      <c r="B51" s="189" t="s">
        <v>442</v>
      </c>
      <c r="C51" s="189"/>
      <c r="D51" s="234"/>
      <c r="E51" s="237"/>
      <c r="F51" s="234"/>
      <c r="G51" s="189"/>
      <c r="H51" s="311"/>
      <c r="I51" s="189"/>
      <c r="J51" s="193"/>
      <c r="K51" s="189"/>
      <c r="L51" s="237"/>
      <c r="M51" s="237"/>
      <c r="N51" s="189"/>
      <c r="O51" s="189"/>
      <c r="P51" s="189"/>
      <c r="Q51" s="189"/>
      <c r="R51" s="237"/>
    </row>
    <row r="52" spans="1:18" ht="18.75" customHeight="1">
      <c r="A52" s="233"/>
      <c r="B52" s="238" t="s">
        <v>263</v>
      </c>
      <c r="C52" s="239"/>
      <c r="D52" s="240">
        <f>F52+E52</f>
        <v>20187717.409999996</v>
      </c>
      <c r="E52" s="277">
        <f>E7+E10+E13+E16+E20+E24+E28+E32+E36+E41+E45+E49</f>
        <v>1007140</v>
      </c>
      <c r="F52" s="240">
        <f>F7+F10+F13+F16+F20+F24+F28+F32+F36+F41+F45+F49</f>
        <v>19180577.409999996</v>
      </c>
      <c r="G52" s="245">
        <f>J52+I52</f>
        <v>20187717.41</v>
      </c>
      <c r="H52" s="274">
        <f>G52*100/D52</f>
        <v>100.00000000000001</v>
      </c>
      <c r="I52" s="245">
        <f>I7+I10+I13+I16+I20+I24+I28+I32+I36+I41+I45+I49</f>
        <v>1007139.43</v>
      </c>
      <c r="J52" s="243">
        <f>J7+J10+J13+J16+J20+J24+J28+J32+J36+J41+J45+J49</f>
        <v>19180577.98</v>
      </c>
      <c r="K52" s="242">
        <f>N52+M52</f>
        <v>-1.3678658206117689E-10</v>
      </c>
      <c r="L52" s="243">
        <f>K52*100/D52</f>
        <v>-6.775732951037821E-16</v>
      </c>
      <c r="M52" s="245">
        <f>M7+M10+M13+M16+M20+M24+M28+M32+M36+M41+M45+M49</f>
        <v>0</v>
      </c>
      <c r="N52" s="242">
        <f>N7+N10+N13+N16+N20+N24+N28+N32+N36+N41+N45+N49</f>
        <v>-1.3678658206117689E-10</v>
      </c>
      <c r="O52" s="244">
        <f>D52-G52-K52</f>
        <v>-3.588503716400737E-09</v>
      </c>
      <c r="P52" s="244">
        <f>O52*100/D52</f>
        <v>-1.777567836680322E-14</v>
      </c>
      <c r="Q52" s="245">
        <f>Q7+Q10+Q13+Q16+Q20+Q24+Q28+Q32+Q36+Q41+Q45+Q49</f>
        <v>0.5699999999487773</v>
      </c>
      <c r="R52" s="274">
        <f>F52-J52-N52</f>
        <v>-0.5700000038865269</v>
      </c>
    </row>
    <row r="53" spans="1:18" ht="16.5" customHeight="1">
      <c r="A53" s="183"/>
      <c r="B53" s="188" t="s">
        <v>411</v>
      </c>
      <c r="C53" s="246"/>
      <c r="D53" s="247"/>
      <c r="E53" s="248"/>
      <c r="F53" s="247"/>
      <c r="G53" s="249"/>
      <c r="H53" s="250"/>
      <c r="I53" s="249"/>
      <c r="J53" s="251"/>
      <c r="K53" s="249"/>
      <c r="L53" s="250"/>
      <c r="M53" s="249"/>
      <c r="N53" s="249"/>
      <c r="O53" s="251"/>
      <c r="P53" s="251"/>
      <c r="Q53" s="249"/>
      <c r="R53" s="250"/>
    </row>
    <row r="54" spans="1:18" ht="16.5" customHeight="1">
      <c r="A54" s="215">
        <v>1.13</v>
      </c>
      <c r="B54" s="185" t="s">
        <v>412</v>
      </c>
      <c r="C54" s="190" t="s">
        <v>410</v>
      </c>
      <c r="D54" s="191">
        <f>F54+E54</f>
        <v>2876848.1</v>
      </c>
      <c r="E54" s="192"/>
      <c r="F54" s="191">
        <f>2877000-151.9</f>
        <v>2876848.1</v>
      </c>
      <c r="G54" s="193">
        <f>J54+I54</f>
        <v>2876848.1000000006</v>
      </c>
      <c r="H54" s="286">
        <f>G54*100/D54</f>
        <v>100.00000000000001</v>
      </c>
      <c r="I54" s="193"/>
      <c r="J54" s="193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4" s="193">
        <f>N54+M54</f>
        <v>5.820766091346741E-11</v>
      </c>
      <c r="L54" s="194">
        <f>K54*100/D54</f>
        <v>2.023313671426288E-15</v>
      </c>
      <c r="M54" s="193"/>
      <c r="N54" s="193">
        <f>190344+38844+15000+30833.2-41831.8-33821+30833.2+21011+82108+90404.3+18000-122932.6-124344-66000+19534.6+18000+3360-104466.9-13928.8+25100-50461.2+3360+14186.4-11-474.8-0.2+18820-42646.4+14018-30838-2000</f>
        <v>5.820766091346741E-11</v>
      </c>
      <c r="O54" s="193">
        <f>D54-G54-K54</f>
        <v>-5.238689482212067E-10</v>
      </c>
      <c r="P54" s="193">
        <f>O54*100/D54</f>
        <v>-1.820982304283659E-14</v>
      </c>
      <c r="Q54" s="193">
        <f>E54-I54-M54</f>
        <v>0</v>
      </c>
      <c r="R54" s="194">
        <f>F54-J54-N54</f>
        <v>-5.238689482212067E-10</v>
      </c>
    </row>
    <row r="55" spans="1:18" ht="16.5" customHeight="1">
      <c r="A55" s="233"/>
      <c r="B55" s="189" t="s">
        <v>413</v>
      </c>
      <c r="C55" s="246"/>
      <c r="D55" s="247"/>
      <c r="E55" s="248"/>
      <c r="F55" s="247"/>
      <c r="G55" s="249"/>
      <c r="H55" s="250"/>
      <c r="I55" s="249"/>
      <c r="J55" s="251"/>
      <c r="K55" s="249"/>
      <c r="L55" s="250"/>
      <c r="M55" s="249"/>
      <c r="N55" s="249"/>
      <c r="O55" s="251"/>
      <c r="P55" s="251"/>
      <c r="Q55" s="249"/>
      <c r="R55" s="250"/>
    </row>
    <row r="56" spans="1:18" ht="16.5" customHeight="1">
      <c r="A56" s="233"/>
      <c r="B56" s="189" t="s">
        <v>414</v>
      </c>
      <c r="C56" s="246"/>
      <c r="D56" s="247"/>
      <c r="E56" s="248"/>
      <c r="F56" s="247"/>
      <c r="G56" s="249"/>
      <c r="H56" s="250"/>
      <c r="I56" s="249"/>
      <c r="J56" s="251"/>
      <c r="K56" s="249"/>
      <c r="L56" s="250"/>
      <c r="M56" s="249"/>
      <c r="N56" s="249"/>
      <c r="O56" s="251"/>
      <c r="P56" s="251"/>
      <c r="Q56" s="249"/>
      <c r="R56" s="250"/>
    </row>
    <row r="57" spans="1:18" ht="16.5" customHeight="1">
      <c r="A57" s="183"/>
      <c r="B57" s="188" t="s">
        <v>415</v>
      </c>
      <c r="C57" s="246"/>
      <c r="D57" s="247"/>
      <c r="E57" s="248"/>
      <c r="F57" s="247"/>
      <c r="G57" s="249"/>
      <c r="H57" s="250"/>
      <c r="I57" s="249"/>
      <c r="J57" s="251"/>
      <c r="K57" s="249"/>
      <c r="L57" s="250"/>
      <c r="M57" s="249"/>
      <c r="N57" s="249"/>
      <c r="O57" s="251"/>
      <c r="P57" s="251"/>
      <c r="Q57" s="249"/>
      <c r="R57" s="250"/>
    </row>
    <row r="58" spans="1:18" ht="18" customHeight="1">
      <c r="A58" s="215">
        <v>1.14</v>
      </c>
      <c r="B58" s="185" t="s">
        <v>416</v>
      </c>
      <c r="C58" s="190" t="s">
        <v>410</v>
      </c>
      <c r="D58" s="191">
        <f>F58+E58</f>
        <v>2868000</v>
      </c>
      <c r="E58" s="192"/>
      <c r="F58" s="191">
        <v>2868000</v>
      </c>
      <c r="G58" s="193">
        <f>J58+I58</f>
        <v>2867584.15</v>
      </c>
      <c r="H58" s="232">
        <f>G58*100/D58</f>
        <v>99.98550034867503</v>
      </c>
      <c r="I58" s="193"/>
      <c r="J58" s="193">
        <f>99560+438922+908000+196542.45+1201.8+100603+50420+50000+101592+8800+146616.1+65307.15+11687.8+222759+57318.2+240+215485.85+57074+15305.2+8726+14610.6+1500+8626+2080+8000.9+4700.4+59900+7305.3+4700.4</f>
        <v>2867584.15</v>
      </c>
      <c r="K58" s="193">
        <f>N58+M58</f>
        <v>0</v>
      </c>
      <c r="L58" s="194">
        <f>K58*100/D58</f>
        <v>0</v>
      </c>
      <c r="M58" s="193"/>
      <c r="N58" s="193">
        <f>1201.8-1201.8+18000+12139-8800+24960+25680-11687.8+26978+50185.8-57318.2-40-20+4213-57074-4675.6+4213-8726-8626-4700.4-0.4-4700.4</f>
        <v>0</v>
      </c>
      <c r="O58" s="193">
        <f>D58-G58-K58</f>
        <v>415.85000000009313</v>
      </c>
      <c r="P58" s="193">
        <f>O58*100/D58</f>
        <v>0.01449965132496838</v>
      </c>
      <c r="Q58" s="193">
        <f>E58-I58-M58</f>
        <v>0</v>
      </c>
      <c r="R58" s="194">
        <f>F58-J58-N58</f>
        <v>415.85000000009313</v>
      </c>
    </row>
    <row r="59" spans="1:18" ht="16.5" customHeight="1">
      <c r="A59" s="233"/>
      <c r="B59" s="189" t="s">
        <v>417</v>
      </c>
      <c r="C59" s="246"/>
      <c r="D59" s="247"/>
      <c r="E59" s="248"/>
      <c r="F59" s="247"/>
      <c r="G59" s="249"/>
      <c r="H59" s="250"/>
      <c r="I59" s="249"/>
      <c r="J59" s="251"/>
      <c r="K59" s="249"/>
      <c r="L59" s="250"/>
      <c r="M59" s="249"/>
      <c r="N59" s="249"/>
      <c r="O59" s="251"/>
      <c r="P59" s="251"/>
      <c r="Q59" s="249"/>
      <c r="R59" s="250"/>
    </row>
    <row r="60" spans="1:18" ht="18.75" customHeight="1">
      <c r="A60" s="233"/>
      <c r="B60" s="189" t="s">
        <v>418</v>
      </c>
      <c r="C60" s="246"/>
      <c r="D60" s="247"/>
      <c r="E60" s="248"/>
      <c r="F60" s="247"/>
      <c r="G60" s="249"/>
      <c r="H60" s="250"/>
      <c r="I60" s="249"/>
      <c r="J60" s="251"/>
      <c r="K60" s="249"/>
      <c r="L60" s="250"/>
      <c r="M60" s="249"/>
      <c r="N60" s="249"/>
      <c r="O60" s="251"/>
      <c r="P60" s="251"/>
      <c r="Q60" s="249"/>
      <c r="R60" s="250"/>
    </row>
    <row r="61" spans="1:18" ht="17.25" customHeight="1">
      <c r="A61" s="183"/>
      <c r="B61" s="188" t="s">
        <v>419</v>
      </c>
      <c r="C61" s="246"/>
      <c r="D61" s="247"/>
      <c r="E61" s="248"/>
      <c r="F61" s="247"/>
      <c r="G61" s="249"/>
      <c r="H61" s="250"/>
      <c r="I61" s="249"/>
      <c r="J61" s="251"/>
      <c r="K61" s="249"/>
      <c r="L61" s="250"/>
      <c r="M61" s="249"/>
      <c r="N61" s="249"/>
      <c r="O61" s="251"/>
      <c r="P61" s="251"/>
      <c r="Q61" s="249"/>
      <c r="R61" s="250"/>
    </row>
    <row r="62" spans="1:18" ht="18" customHeight="1">
      <c r="A62" s="215">
        <v>1.15</v>
      </c>
      <c r="B62" s="185" t="s">
        <v>420</v>
      </c>
      <c r="C62" s="190" t="s">
        <v>410</v>
      </c>
      <c r="D62" s="191">
        <f>F62+E62</f>
        <v>14529000</v>
      </c>
      <c r="E62" s="192"/>
      <c r="F62" s="191">
        <v>14529000</v>
      </c>
      <c r="G62" s="194">
        <f>J62+I62</f>
        <v>14528538.610000003</v>
      </c>
      <c r="H62" s="286">
        <f>G62*100/D62</f>
        <v>99.99682435129742</v>
      </c>
      <c r="I62" s="193"/>
      <c r="J62" s="194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+240+2836.9+12500+164159.65+30615.25+6263+23572+66925.35+18613.9</f>
        <v>14528538.610000003</v>
      </c>
      <c r="K62" s="193">
        <f>N62+M62</f>
        <v>-4.2928149923682213E-10</v>
      </c>
      <c r="L62" s="194">
        <f>K62*100/D62</f>
        <v>-2.9546527581858498E-15</v>
      </c>
      <c r="M62" s="193"/>
      <c r="N62" s="193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+4005.4-42570.6-102153-33897.2-8009-3496.85-30615.25-48.4-18613.9</f>
        <v>-4.2928149923682213E-10</v>
      </c>
      <c r="O62" s="193">
        <f>D62-G62-K62</f>
        <v>461.38999999730004</v>
      </c>
      <c r="P62" s="193">
        <f>O62*100/D62</f>
        <v>0.0031756487025762273</v>
      </c>
      <c r="Q62" s="193">
        <f>E62-I62-M62</f>
        <v>0</v>
      </c>
      <c r="R62" s="194">
        <f>F62-J62-N62</f>
        <v>461.38999999730004</v>
      </c>
    </row>
    <row r="63" spans="1:18" ht="16.5" customHeight="1">
      <c r="A63" s="233"/>
      <c r="B63" s="237" t="s">
        <v>421</v>
      </c>
      <c r="C63" s="246"/>
      <c r="D63" s="247"/>
      <c r="E63" s="248"/>
      <c r="F63" s="247"/>
      <c r="G63" s="249"/>
      <c r="H63" s="250"/>
      <c r="I63" s="249"/>
      <c r="J63" s="251"/>
      <c r="K63" s="249"/>
      <c r="L63" s="250"/>
      <c r="M63" s="249"/>
      <c r="N63" s="249"/>
      <c r="O63" s="251"/>
      <c r="P63" s="251"/>
      <c r="Q63" s="249"/>
      <c r="R63" s="250"/>
    </row>
    <row r="64" spans="1:18" ht="17.25" customHeight="1">
      <c r="A64" s="183"/>
      <c r="B64" s="188" t="s">
        <v>422</v>
      </c>
      <c r="C64" s="246"/>
      <c r="D64" s="247"/>
      <c r="E64" s="248"/>
      <c r="F64" s="247"/>
      <c r="G64" s="249"/>
      <c r="H64" s="250"/>
      <c r="I64" s="249"/>
      <c r="J64" s="251"/>
      <c r="K64" s="249"/>
      <c r="L64" s="250"/>
      <c r="M64" s="249"/>
      <c r="N64" s="249"/>
      <c r="O64" s="251"/>
      <c r="P64" s="251"/>
      <c r="Q64" s="249"/>
      <c r="R64" s="250"/>
    </row>
    <row r="65" spans="1:18" ht="18" customHeight="1">
      <c r="A65" s="215">
        <v>1.16</v>
      </c>
      <c r="B65" s="185" t="s">
        <v>423</v>
      </c>
      <c r="C65" s="190" t="s">
        <v>410</v>
      </c>
      <c r="D65" s="191">
        <f>F65+E65</f>
        <v>19450000</v>
      </c>
      <c r="E65" s="192"/>
      <c r="F65" s="191">
        <v>19450000</v>
      </c>
      <c r="G65" s="194">
        <f>J65+I65</f>
        <v>19449530.319999997</v>
      </c>
      <c r="H65" s="286">
        <f>G65*100/D65</f>
        <v>99.99758519280205</v>
      </c>
      <c r="I65" s="193"/>
      <c r="J65" s="194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+16770+32700+5768+3460+140529.71+530142.65+76580.4+147365.1+53103.9+7305</f>
        <v>19449530.319999997</v>
      </c>
      <c r="K65" s="193">
        <f>N65+M65</f>
        <v>0</v>
      </c>
      <c r="L65" s="194">
        <f>K65*100/D65</f>
        <v>0</v>
      </c>
      <c r="M65" s="193"/>
      <c r="N65" s="193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-208432.3-2902.7+33000+9900-76580.4-299.1-0.4-53103.9</f>
        <v>0</v>
      </c>
      <c r="O65" s="193">
        <f>D65-G65-K65</f>
        <v>469.68000000342727</v>
      </c>
      <c r="P65" s="193">
        <f>O65*100/D65</f>
        <v>0.0024148071979610657</v>
      </c>
      <c r="Q65" s="193">
        <f>E65-I65-M65</f>
        <v>0</v>
      </c>
      <c r="R65" s="194">
        <f>F65-J65-N65</f>
        <v>469.68000000342727</v>
      </c>
    </row>
    <row r="66" spans="1:18" ht="16.5" customHeight="1">
      <c r="A66" s="233"/>
      <c r="B66" s="237" t="s">
        <v>424</v>
      </c>
      <c r="C66" s="246"/>
      <c r="D66" s="247"/>
      <c r="E66" s="248"/>
      <c r="F66" s="247"/>
      <c r="G66" s="249"/>
      <c r="H66" s="250"/>
      <c r="I66" s="249"/>
      <c r="J66" s="251"/>
      <c r="K66" s="249"/>
      <c r="L66" s="250"/>
      <c r="M66" s="249"/>
      <c r="N66" s="249"/>
      <c r="O66" s="251"/>
      <c r="P66" s="251"/>
      <c r="Q66" s="249"/>
      <c r="R66" s="250"/>
    </row>
    <row r="67" spans="1:18" ht="16.5" customHeight="1">
      <c r="A67" s="210"/>
      <c r="B67" s="308" t="s">
        <v>425</v>
      </c>
      <c r="C67" s="212"/>
      <c r="D67" s="253"/>
      <c r="E67" s="254"/>
      <c r="F67" s="253"/>
      <c r="G67" s="255"/>
      <c r="H67" s="256"/>
      <c r="I67" s="255"/>
      <c r="J67" s="257"/>
      <c r="K67" s="255"/>
      <c r="L67" s="256"/>
      <c r="M67" s="255"/>
      <c r="N67" s="255"/>
      <c r="O67" s="257"/>
      <c r="P67" s="257"/>
      <c r="Q67" s="255"/>
      <c r="R67" s="256"/>
    </row>
    <row r="68" spans="1:19" ht="16.5" customHeight="1">
      <c r="A68" s="309"/>
      <c r="B68" s="301" t="s">
        <v>426</v>
      </c>
      <c r="C68" s="302"/>
      <c r="D68" s="303"/>
      <c r="E68" s="304"/>
      <c r="F68" s="303"/>
      <c r="G68" s="305"/>
      <c r="H68" s="310"/>
      <c r="I68" s="305"/>
      <c r="J68" s="307"/>
      <c r="K68" s="305"/>
      <c r="L68" s="310"/>
      <c r="M68" s="305"/>
      <c r="N68" s="305"/>
      <c r="O68" s="307"/>
      <c r="P68" s="307"/>
      <c r="Q68" s="305"/>
      <c r="R68" s="310"/>
      <c r="S68" s="175">
        <v>3</v>
      </c>
    </row>
    <row r="69" spans="1:18" ht="16.5" customHeight="1">
      <c r="A69" s="215">
        <v>1.17</v>
      </c>
      <c r="B69" s="185" t="s">
        <v>427</v>
      </c>
      <c r="C69" s="190" t="s">
        <v>410</v>
      </c>
      <c r="D69" s="191">
        <f>F69+E69</f>
        <v>14530000</v>
      </c>
      <c r="E69" s="192"/>
      <c r="F69" s="191">
        <v>14530000</v>
      </c>
      <c r="G69" s="194">
        <f>J69+I69</f>
        <v>14529751.619999997</v>
      </c>
      <c r="H69" s="286">
        <f>G69*100/D69</f>
        <v>99.99829057123192</v>
      </c>
      <c r="I69" s="193"/>
      <c r="J69" s="194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+99800+19750+18820+373336.5+111777.3+6500+238995.45+58966.2</f>
        <v>14529751.619999997</v>
      </c>
      <c r="K69" s="193">
        <f>N69+M69</f>
        <v>5.456968210637569E-10</v>
      </c>
      <c r="L69" s="194">
        <f>K69*100/D69</f>
        <v>3.755656029344508E-15</v>
      </c>
      <c r="M69" s="193"/>
      <c r="N69" s="193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+203611.3+7000-350239.2-11914.85-300-840+64647.6+24000+40000+40048.6+110000-271374.2-468.5-23115.3-2500.9-4004.5-9.5+3360+20000+23760+50000-188635.2-249.9-201.1-80+24000+20000-111777.3-508.9-58966.2</f>
        <v>5.456968210637569E-10</v>
      </c>
      <c r="O69" s="193">
        <f>D69-G69-K69</f>
        <v>248.3800000021365</v>
      </c>
      <c r="P69" s="193">
        <f>O69*100/D69</f>
        <v>0.0017094287680807744</v>
      </c>
      <c r="Q69" s="193">
        <f>E69-I69-M69</f>
        <v>0</v>
      </c>
      <c r="R69" s="194">
        <f>F69-J69-N69</f>
        <v>248.3800000021365</v>
      </c>
    </row>
    <row r="70" spans="1:18" ht="16.5" customHeight="1">
      <c r="A70" s="233"/>
      <c r="B70" s="237" t="s">
        <v>198</v>
      </c>
      <c r="C70" s="246"/>
      <c r="D70" s="247"/>
      <c r="E70" s="248"/>
      <c r="F70" s="247"/>
      <c r="G70" s="249"/>
      <c r="H70" s="250"/>
      <c r="I70" s="249"/>
      <c r="J70" s="251"/>
      <c r="K70" s="249"/>
      <c r="L70" s="250"/>
      <c r="M70" s="249"/>
      <c r="N70" s="249"/>
      <c r="O70" s="251"/>
      <c r="P70" s="251"/>
      <c r="Q70" s="249"/>
      <c r="R70" s="250"/>
    </row>
    <row r="71" spans="1:18" ht="18" customHeight="1">
      <c r="A71" s="233"/>
      <c r="B71" s="238" t="s">
        <v>302</v>
      </c>
      <c r="C71" s="239"/>
      <c r="D71" s="240">
        <f>F71+E71</f>
        <v>54253848.1</v>
      </c>
      <c r="E71" s="241">
        <f>E54+E58+E62+E65+E69</f>
        <v>0</v>
      </c>
      <c r="F71" s="240">
        <f>F54+F58+F62+F65+F69</f>
        <v>54253848.1</v>
      </c>
      <c r="G71" s="245">
        <f>J71+I71</f>
        <v>54252252.8</v>
      </c>
      <c r="H71" s="274">
        <f>G71*100/D71</f>
        <v>99.99705956341187</v>
      </c>
      <c r="I71" s="245">
        <f>I54+I58+I62+I65+I69</f>
        <v>0</v>
      </c>
      <c r="J71" s="243">
        <f>J54+J58+J62+J65+J69</f>
        <v>54252252.8</v>
      </c>
      <c r="K71" s="245">
        <f>N71+M71</f>
        <v>1.7462298274040222E-10</v>
      </c>
      <c r="L71" s="274">
        <f>K71*100/D71</f>
        <v>3.218628518635938E-16</v>
      </c>
      <c r="M71" s="245">
        <f>M54+M58+M62+M65+M69</f>
        <v>0</v>
      </c>
      <c r="N71" s="245">
        <f>N54+N58+N62+N65+N69</f>
        <v>1.7462298274040222E-10</v>
      </c>
      <c r="O71" s="274">
        <f>D71-G71-K71</f>
        <v>1595.3000000042957</v>
      </c>
      <c r="P71" s="243">
        <f>O71*100/D71</f>
        <v>0.002940436588136309</v>
      </c>
      <c r="Q71" s="245">
        <f>Q26+Q29+Q32+Q35+Q39+Q55+Q59+Q63+Q67</f>
        <v>0</v>
      </c>
      <c r="R71" s="274">
        <f>F71-J71-N71</f>
        <v>1595.3000000042957</v>
      </c>
    </row>
    <row r="72" spans="1:18" ht="16.5" customHeight="1">
      <c r="A72" s="229"/>
      <c r="B72" s="188" t="s">
        <v>401</v>
      </c>
      <c r="C72" s="246"/>
      <c r="D72" s="247"/>
      <c r="E72" s="248"/>
      <c r="F72" s="247"/>
      <c r="G72" s="249"/>
      <c r="H72" s="250"/>
      <c r="I72" s="249"/>
      <c r="J72" s="251"/>
      <c r="K72" s="249"/>
      <c r="L72" s="270"/>
      <c r="M72" s="249"/>
      <c r="N72" s="249"/>
      <c r="O72" s="251"/>
      <c r="P72" s="251"/>
      <c r="Q72" s="249"/>
      <c r="R72" s="250"/>
    </row>
    <row r="73" spans="1:18" ht="18.75" customHeight="1">
      <c r="A73" s="190" t="s">
        <v>438</v>
      </c>
      <c r="B73" s="189" t="s">
        <v>402</v>
      </c>
      <c r="C73" s="190" t="s">
        <v>377</v>
      </c>
      <c r="D73" s="191">
        <f>F73+E73</f>
        <v>7599907.75</v>
      </c>
      <c r="E73" s="192"/>
      <c r="F73" s="191">
        <f>7600000-92.25</f>
        <v>7599907.75</v>
      </c>
      <c r="G73" s="193">
        <f>J73+I73</f>
        <v>7599907.750000001</v>
      </c>
      <c r="H73" s="286">
        <f>G73*100/D73</f>
        <v>100.00000000000001</v>
      </c>
      <c r="I73" s="193"/>
      <c r="J73" s="193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+1320</f>
        <v>7599907.750000001</v>
      </c>
      <c r="K73" s="193">
        <f>N73+M73</f>
        <v>-5.820766091346741E-11</v>
      </c>
      <c r="L73" s="194">
        <f>K73*100/D73</f>
        <v>-7.658995717871366E-16</v>
      </c>
      <c r="M73" s="193"/>
      <c r="N73" s="193">
        <f>18601.6+5920-24521.6+9212.6+5540+39035.1-8544.5-39035.1+274234+23560+14160+89757.7+15900-108239.2-0.9+239130-239130+32243.5+13440+83160-201054.2-200-200-19022.5-1660-213366.5-7060-400-1460</f>
        <v>-5.820766091346741E-11</v>
      </c>
      <c r="O73" s="193">
        <f>D73-G73-K73</f>
        <v>-8.731149137020111E-10</v>
      </c>
      <c r="P73" s="193">
        <f>O73*100/D73</f>
        <v>-1.1488493576807049E-14</v>
      </c>
      <c r="Q73" s="193">
        <f>E73-I73-M73</f>
        <v>0</v>
      </c>
      <c r="R73" s="194">
        <f>F73-J73-N73</f>
        <v>-8.731149137020111E-10</v>
      </c>
    </row>
    <row r="74" spans="1:18" ht="18.75" customHeight="1">
      <c r="A74" s="229"/>
      <c r="B74" s="189" t="s">
        <v>98</v>
      </c>
      <c r="C74" s="246"/>
      <c r="D74" s="247"/>
      <c r="E74" s="248"/>
      <c r="F74" s="247"/>
      <c r="G74" s="249"/>
      <c r="H74" s="250"/>
      <c r="I74" s="249"/>
      <c r="J74" s="251"/>
      <c r="K74" s="249"/>
      <c r="L74" s="270"/>
      <c r="M74" s="249"/>
      <c r="N74" s="249"/>
      <c r="O74" s="251"/>
      <c r="P74" s="251"/>
      <c r="Q74" s="249"/>
      <c r="R74" s="250"/>
    </row>
    <row r="75" spans="1:18" ht="18.75" customHeight="1">
      <c r="A75" s="210"/>
      <c r="B75" s="252" t="s">
        <v>403</v>
      </c>
      <c r="C75" s="212"/>
      <c r="D75" s="253"/>
      <c r="E75" s="254"/>
      <c r="F75" s="253"/>
      <c r="G75" s="255"/>
      <c r="H75" s="256"/>
      <c r="I75" s="255"/>
      <c r="J75" s="257"/>
      <c r="K75" s="255"/>
      <c r="L75" s="271"/>
      <c r="M75" s="255"/>
      <c r="N75" s="255"/>
      <c r="O75" s="257"/>
      <c r="P75" s="257"/>
      <c r="Q75" s="255"/>
      <c r="R75" s="256"/>
    </row>
    <row r="76" spans="1:18" ht="18.75" customHeight="1">
      <c r="A76" s="258"/>
      <c r="B76" s="188" t="s">
        <v>404</v>
      </c>
      <c r="C76" s="259"/>
      <c r="D76" s="260"/>
      <c r="E76" s="261"/>
      <c r="F76" s="260"/>
      <c r="G76" s="262"/>
      <c r="H76" s="232"/>
      <c r="I76" s="262"/>
      <c r="J76" s="263"/>
      <c r="K76" s="262"/>
      <c r="L76" s="272"/>
      <c r="M76" s="262"/>
      <c r="N76" s="262"/>
      <c r="O76" s="263"/>
      <c r="P76" s="263"/>
      <c r="Q76" s="262"/>
      <c r="R76" s="232"/>
    </row>
    <row r="77" spans="1:18" ht="18.75" customHeight="1">
      <c r="A77" s="258" t="s">
        <v>439</v>
      </c>
      <c r="B77" s="189" t="s">
        <v>455</v>
      </c>
      <c r="C77" s="190" t="s">
        <v>377</v>
      </c>
      <c r="D77" s="191">
        <f>F77+E77</f>
        <v>3799969.3</v>
      </c>
      <c r="E77" s="192"/>
      <c r="F77" s="191">
        <f>3800000-30.7</f>
        <v>3799969.3</v>
      </c>
      <c r="G77" s="193">
        <f>J77+I77</f>
        <v>3799969.2999999993</v>
      </c>
      <c r="H77" s="286">
        <f>G77*100/D77</f>
        <v>99.99999999999999</v>
      </c>
      <c r="I77" s="193"/>
      <c r="J77" s="193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77" s="193">
        <f>N77+M77</f>
        <v>8.36735125631094E-11</v>
      </c>
      <c r="L77" s="194">
        <f>K77*100/D77</f>
        <v>2.2019523305914447E-15</v>
      </c>
      <c r="M77" s="193"/>
      <c r="N77" s="193">
        <f>94100+7313+12000+24000+3000+30511-51325.2+9212.6-48680.1+133000+17802-52720.2-0.9+156540-156540-4787.8-400-26600-50576.4-2733.8-58940-4188.2-29986</f>
        <v>8.36735125631094E-11</v>
      </c>
      <c r="O77" s="193">
        <f>D77-G77-K77</f>
        <v>3.8198777474462986E-10</v>
      </c>
      <c r="P77" s="193">
        <f>O77*100/D77</f>
        <v>1.0052391074439203E-14</v>
      </c>
      <c r="Q77" s="193">
        <f>E77-I77-M77</f>
        <v>0</v>
      </c>
      <c r="R77" s="194">
        <f>F77-J77-N77</f>
        <v>3.8198777474462986E-10</v>
      </c>
    </row>
    <row r="78" spans="1:18" ht="18.75" customHeight="1">
      <c r="A78" s="233"/>
      <c r="B78" s="189" t="s">
        <v>405</v>
      </c>
      <c r="C78" s="259"/>
      <c r="D78" s="260"/>
      <c r="E78" s="261"/>
      <c r="F78" s="260"/>
      <c r="G78" s="262"/>
      <c r="H78" s="232"/>
      <c r="I78" s="262"/>
      <c r="J78" s="263"/>
      <c r="K78" s="262"/>
      <c r="L78" s="272"/>
      <c r="M78" s="262"/>
      <c r="N78" s="262"/>
      <c r="O78" s="263"/>
      <c r="P78" s="263"/>
      <c r="Q78" s="262"/>
      <c r="R78" s="232"/>
    </row>
    <row r="79" spans="1:18" s="265" customFormat="1" ht="18.75" customHeight="1">
      <c r="A79" s="233"/>
      <c r="B79" s="264" t="s">
        <v>428</v>
      </c>
      <c r="C79" s="259"/>
      <c r="D79" s="260"/>
      <c r="E79" s="261"/>
      <c r="F79" s="260"/>
      <c r="G79" s="262"/>
      <c r="H79" s="232"/>
      <c r="I79" s="262"/>
      <c r="J79" s="263"/>
      <c r="K79" s="262"/>
      <c r="L79" s="272"/>
      <c r="M79" s="262"/>
      <c r="N79" s="262"/>
      <c r="O79" s="263"/>
      <c r="P79" s="263"/>
      <c r="Q79" s="262"/>
      <c r="R79" s="232"/>
    </row>
    <row r="80" spans="1:18" s="265" customFormat="1" ht="18.75" customHeight="1">
      <c r="A80" s="229"/>
      <c r="B80" s="188" t="s">
        <v>469</v>
      </c>
      <c r="C80" s="259"/>
      <c r="D80" s="260"/>
      <c r="E80" s="261"/>
      <c r="F80" s="260"/>
      <c r="G80" s="262"/>
      <c r="H80" s="232"/>
      <c r="I80" s="262"/>
      <c r="J80" s="263"/>
      <c r="K80" s="262"/>
      <c r="L80" s="272"/>
      <c r="M80" s="262"/>
      <c r="N80" s="262"/>
      <c r="O80" s="263"/>
      <c r="P80" s="263"/>
      <c r="Q80" s="262"/>
      <c r="R80" s="232"/>
    </row>
    <row r="81" spans="1:18" s="265" customFormat="1" ht="18.75" customHeight="1">
      <c r="A81" s="190" t="s">
        <v>259</v>
      </c>
      <c r="B81" s="189" t="s">
        <v>470</v>
      </c>
      <c r="C81" s="190" t="s">
        <v>471</v>
      </c>
      <c r="D81" s="191">
        <f>F81+E81</f>
        <v>4261800</v>
      </c>
      <c r="E81" s="192"/>
      <c r="F81" s="191">
        <f>4275000-13200</f>
        <v>4261800</v>
      </c>
      <c r="G81" s="193">
        <f>J81+I81</f>
        <v>4260034.59</v>
      </c>
      <c r="H81" s="232">
        <f>G81*100/D81</f>
        <v>99.95857595382233</v>
      </c>
      <c r="I81" s="193"/>
      <c r="J81" s="193">
        <f>77820+45835+21769.05+20330+231930+376510+227430+41328.95+60201.4+221130+217530+226530+26497.8+78547.05+14500+92388.4+226530+229230+480+77610+497498.34+195580+63728.9+4146+109798.2+75232.2+7060+290700+5120+132000+5200+33122.25+57330.05+36498+9680+12813+91600+118800</f>
        <v>4260034.59</v>
      </c>
      <c r="K81" s="193">
        <f>N81+M81</f>
        <v>0</v>
      </c>
      <c r="L81" s="194">
        <f>K81*100/D81</f>
        <v>0</v>
      </c>
      <c r="M81" s="193"/>
      <c r="N81" s="193">
        <f>223991.7+31540+11880+6009-60201.4+6704.95+264000+23760-92388.4+7104.05+36032.4+37431.5-108890.9-500.45-75232.2+6603.6-4904.05-1201.8-11240-132000-36498-118800-13200</f>
        <v>0</v>
      </c>
      <c r="O81" s="193">
        <f>D81-G81-K81</f>
        <v>1765.410000000149</v>
      </c>
      <c r="P81" s="194">
        <f>O81*100/D81</f>
        <v>0.0414240461776749</v>
      </c>
      <c r="Q81" s="193">
        <f>E81-I81-M81</f>
        <v>0</v>
      </c>
      <c r="R81" s="194">
        <f>F81-J81-N81</f>
        <v>1765.410000000149</v>
      </c>
    </row>
    <row r="82" spans="1:18" s="265" customFormat="1" ht="18.75" customHeight="1">
      <c r="A82" s="229"/>
      <c r="B82" s="189" t="s">
        <v>425</v>
      </c>
      <c r="C82" s="259"/>
      <c r="D82" s="260"/>
      <c r="E82" s="261"/>
      <c r="F82" s="260"/>
      <c r="G82" s="262"/>
      <c r="H82" s="232"/>
      <c r="I82" s="262"/>
      <c r="J82" s="263"/>
      <c r="K82" s="262"/>
      <c r="L82" s="272"/>
      <c r="M82" s="262"/>
      <c r="N82" s="262"/>
      <c r="O82" s="263"/>
      <c r="P82" s="263"/>
      <c r="Q82" s="262"/>
      <c r="R82" s="232"/>
    </row>
    <row r="83" spans="1:18" s="265" customFormat="1" ht="18.75" customHeight="1">
      <c r="A83" s="229"/>
      <c r="B83" s="188" t="s">
        <v>472</v>
      </c>
      <c r="C83" s="259"/>
      <c r="D83" s="260"/>
      <c r="E83" s="261"/>
      <c r="F83" s="260"/>
      <c r="G83" s="262"/>
      <c r="H83" s="232"/>
      <c r="I83" s="262"/>
      <c r="J83" s="263"/>
      <c r="K83" s="262"/>
      <c r="L83" s="272"/>
      <c r="M83" s="262"/>
      <c r="N83" s="262"/>
      <c r="O83" s="263"/>
      <c r="P83" s="263"/>
      <c r="Q83" s="262"/>
      <c r="R83" s="232"/>
    </row>
    <row r="84" spans="1:18" s="265" customFormat="1" ht="18.75" customHeight="1">
      <c r="A84" s="190" t="s">
        <v>474</v>
      </c>
      <c r="B84" s="189" t="s">
        <v>473</v>
      </c>
      <c r="C84" s="190" t="s">
        <v>471</v>
      </c>
      <c r="D84" s="191">
        <f>F84+E84</f>
        <v>4736800</v>
      </c>
      <c r="E84" s="192"/>
      <c r="F84" s="191">
        <f>4750000-13200</f>
        <v>4736800</v>
      </c>
      <c r="G84" s="193">
        <f>J84+I84</f>
        <v>4736736.72</v>
      </c>
      <c r="H84" s="286">
        <f>G84*100/D84</f>
        <v>99.99866407701401</v>
      </c>
      <c r="I84" s="193"/>
      <c r="J84" s="193">
        <f>77820+232830+45835+65510+20330+97350+440051.64+231030+54047.7+35232.4+235530+227430+41645.4+61603.2+221130+217530+9220+226530+9100+26497.8+40731.05+114543.9+226530+486700+146010+27446.15+498165+68899.35+78255.3+11000+53713.08+132000+5040+64635.35+83454.4+2240+2320+118800</f>
        <v>4736736.72</v>
      </c>
      <c r="K84" s="193">
        <f>N84+M84</f>
        <v>-2.9103830456733704E-11</v>
      </c>
      <c r="L84" s="194">
        <f>K84*100/D84</f>
        <v>-6.144196600391341E-16</v>
      </c>
      <c r="M84" s="193"/>
      <c r="N84" s="193">
        <f>35232.4-35232.4+7760+55243.2+12000+9060+63062.1+6009+36540-61603.2-1200-200+264000+36540-114543.9+40000-602.7-220+37431.5+41440-78255.3-5006.3-132000-83454.4-118800-13200</f>
        <v>-2.9103830456733704E-11</v>
      </c>
      <c r="O84" s="193">
        <f>D84-G84-K84</f>
        <v>63.280000000289874</v>
      </c>
      <c r="P84" s="194">
        <f>O84*100/D84</f>
        <v>0.0013359229859882173</v>
      </c>
      <c r="Q84" s="193">
        <f>E84-I84-M84</f>
        <v>0</v>
      </c>
      <c r="R84" s="194">
        <f>F84-J84-N84</f>
        <v>63.280000000289874</v>
      </c>
    </row>
    <row r="85" spans="1:18" s="265" customFormat="1" ht="16.5" customHeight="1">
      <c r="A85" s="233"/>
      <c r="B85" s="294"/>
      <c r="C85" s="259"/>
      <c r="D85" s="260"/>
      <c r="E85" s="261"/>
      <c r="F85" s="260"/>
      <c r="G85" s="262"/>
      <c r="H85" s="232"/>
      <c r="I85" s="262"/>
      <c r="J85" s="263"/>
      <c r="K85" s="262"/>
      <c r="L85" s="272"/>
      <c r="M85" s="262"/>
      <c r="N85" s="262"/>
      <c r="O85" s="263"/>
      <c r="P85" s="263"/>
      <c r="Q85" s="262"/>
      <c r="R85" s="232"/>
    </row>
    <row r="86" spans="1:18" s="265" customFormat="1" ht="18.75" customHeight="1">
      <c r="A86" s="233"/>
      <c r="B86" s="238" t="s">
        <v>406</v>
      </c>
      <c r="C86" s="239"/>
      <c r="D86" s="240">
        <f>F86+E86</f>
        <v>20398477.05</v>
      </c>
      <c r="E86" s="241">
        <f>E73+E77+E81+E84</f>
        <v>0</v>
      </c>
      <c r="F86" s="240">
        <f>F73+F77+F81+F84</f>
        <v>20398477.05</v>
      </c>
      <c r="G86" s="245">
        <f>J86+I86</f>
        <v>20396648.36</v>
      </c>
      <c r="H86" s="243">
        <f>G86*100/D86</f>
        <v>99.99103516406878</v>
      </c>
      <c r="I86" s="242">
        <f>I73+I77+I81+I84</f>
        <v>0</v>
      </c>
      <c r="J86" s="243">
        <f>J73+J77+J81+J84</f>
        <v>20396648.36</v>
      </c>
      <c r="K86" s="242">
        <f>N86+M86</f>
        <v>-3.637978807091713E-12</v>
      </c>
      <c r="L86" s="274">
        <f>K86*100/D86</f>
        <v>-1.783456087517922E-17</v>
      </c>
      <c r="M86" s="242">
        <f>M73+M77+M81+M84</f>
        <v>0</v>
      </c>
      <c r="N86" s="242">
        <f>N73+N77+N81+N84</f>
        <v>-3.637978807091713E-12</v>
      </c>
      <c r="O86" s="244">
        <f>D86-G86-K86</f>
        <v>1828.6900000013447</v>
      </c>
      <c r="P86" s="244">
        <f>O86*100/D86</f>
        <v>0.00896483593122627</v>
      </c>
      <c r="Q86" s="242">
        <f>Q17+Q20+Q23+Q26+Q30+Q34+Q38+Q73+Q77</f>
        <v>0</v>
      </c>
      <c r="R86" s="274">
        <f>F86-J86-N86</f>
        <v>1828.6900000013447</v>
      </c>
    </row>
    <row r="87" spans="1:18" s="265" customFormat="1" ht="18" customHeight="1">
      <c r="A87" s="229"/>
      <c r="B87" s="188" t="s">
        <v>407</v>
      </c>
      <c r="C87" s="259"/>
      <c r="D87" s="260"/>
      <c r="E87" s="261"/>
      <c r="F87" s="260"/>
      <c r="G87" s="262"/>
      <c r="H87" s="232"/>
      <c r="I87" s="262"/>
      <c r="J87" s="263"/>
      <c r="K87" s="262"/>
      <c r="L87" s="232"/>
      <c r="M87" s="262"/>
      <c r="N87" s="262"/>
      <c r="O87" s="263"/>
      <c r="P87" s="263"/>
      <c r="Q87" s="262"/>
      <c r="R87" s="232"/>
    </row>
    <row r="88" spans="1:18" s="265" customFormat="1" ht="18" customHeight="1">
      <c r="A88" s="190" t="s">
        <v>475</v>
      </c>
      <c r="B88" s="189" t="s">
        <v>408</v>
      </c>
      <c r="C88" s="266" t="s">
        <v>410</v>
      </c>
      <c r="D88" s="267">
        <f>F88+E88</f>
        <v>19463000</v>
      </c>
      <c r="E88" s="268"/>
      <c r="F88" s="267">
        <v>19463000</v>
      </c>
      <c r="G88" s="276">
        <f>J88+I88</f>
        <v>19462881.08</v>
      </c>
      <c r="H88" s="274">
        <f>G88*100/D88</f>
        <v>99.99938899450238</v>
      </c>
      <c r="I88" s="269"/>
      <c r="J88" s="27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+6257+113051.75+14512.7+42415.6+61917+52000+91215+27822</f>
        <v>19462881.08</v>
      </c>
      <c r="K88" s="269">
        <f>N88+M88</f>
        <v>1.2478267308324575E-09</v>
      </c>
      <c r="L88" s="274">
        <f>K88*100/D88</f>
        <v>6.411276426205917E-15</v>
      </c>
      <c r="M88" s="269"/>
      <c r="N88" s="269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-200.9-42415.6-15.6-36.2-27822</f>
        <v>1.2478267308324575E-09</v>
      </c>
      <c r="O88" s="269">
        <f>D88-G88-K88</f>
        <v>118.92000000054031</v>
      </c>
      <c r="P88" s="269">
        <f>O88*100/D88</f>
        <v>0.0006110054976136275</v>
      </c>
      <c r="Q88" s="269">
        <f>E88-I88-M88</f>
        <v>0</v>
      </c>
      <c r="R88" s="276">
        <f>F88-J88-N88</f>
        <v>118.92000000054031</v>
      </c>
    </row>
    <row r="89" spans="1:18" s="265" customFormat="1" ht="18" customHeight="1">
      <c r="A89" s="229"/>
      <c r="B89" s="189" t="s">
        <v>409</v>
      </c>
      <c r="C89" s="259"/>
      <c r="D89" s="260"/>
      <c r="E89" s="261"/>
      <c r="F89" s="260"/>
      <c r="G89" s="262"/>
      <c r="H89" s="232"/>
      <c r="I89" s="262"/>
      <c r="J89" s="263"/>
      <c r="K89" s="262"/>
      <c r="L89" s="263"/>
      <c r="M89" s="262"/>
      <c r="N89" s="262"/>
      <c r="O89" s="263"/>
      <c r="P89" s="263"/>
      <c r="Q89" s="262"/>
      <c r="R89" s="263"/>
    </row>
    <row r="90" spans="1:18" s="265" customFormat="1" ht="18" customHeight="1">
      <c r="A90" s="233"/>
      <c r="B90" s="188" t="s">
        <v>447</v>
      </c>
      <c r="C90" s="259"/>
      <c r="D90" s="260"/>
      <c r="E90" s="261"/>
      <c r="F90" s="260"/>
      <c r="G90" s="262"/>
      <c r="H90" s="232"/>
      <c r="I90" s="262"/>
      <c r="J90" s="263"/>
      <c r="K90" s="262"/>
      <c r="L90" s="263"/>
      <c r="M90" s="262"/>
      <c r="N90" s="262"/>
      <c r="O90" s="263"/>
      <c r="P90" s="263"/>
      <c r="Q90" s="262"/>
      <c r="R90" s="263"/>
    </row>
    <row r="91" spans="1:18" s="265" customFormat="1" ht="18" customHeight="1">
      <c r="A91" s="233">
        <v>1.23</v>
      </c>
      <c r="B91" s="185" t="s">
        <v>373</v>
      </c>
      <c r="C91" s="190" t="s">
        <v>446</v>
      </c>
      <c r="D91" s="191">
        <f>F91+E91</f>
        <v>249871.07</v>
      </c>
      <c r="E91" s="192"/>
      <c r="F91" s="191">
        <f>250000-128-0.93</f>
        <v>249871.07</v>
      </c>
      <c r="G91" s="193">
        <f>J91+I91</f>
        <v>249871.07</v>
      </c>
      <c r="H91" s="286">
        <f>G91*100/D91</f>
        <v>100</v>
      </c>
      <c r="I91" s="193"/>
      <c r="J91" s="193">
        <f>160352.4+39528.3+49990.37</f>
        <v>249871.07</v>
      </c>
      <c r="K91" s="193">
        <f>N91+M91</f>
        <v>0</v>
      </c>
      <c r="L91" s="286">
        <f>K91*100/D91</f>
        <v>0</v>
      </c>
      <c r="M91" s="193"/>
      <c r="N91" s="193">
        <f>89612-50083.7-39528.3</f>
        <v>0</v>
      </c>
      <c r="O91" s="193">
        <f>D91-G91-K91</f>
        <v>0</v>
      </c>
      <c r="P91" s="194">
        <f>O91*100/D91</f>
        <v>0</v>
      </c>
      <c r="Q91" s="193">
        <f>E91-I91-M91</f>
        <v>0</v>
      </c>
      <c r="R91" s="194">
        <f>F91-J91-N91</f>
        <v>0</v>
      </c>
    </row>
    <row r="92" spans="1:18" s="265" customFormat="1" ht="18" customHeight="1">
      <c r="A92" s="233"/>
      <c r="B92" s="185" t="s">
        <v>374</v>
      </c>
      <c r="C92" s="259"/>
      <c r="D92" s="260"/>
      <c r="E92" s="261"/>
      <c r="F92" s="260"/>
      <c r="G92" s="262"/>
      <c r="H92" s="286"/>
      <c r="I92" s="262"/>
      <c r="J92" s="263"/>
      <c r="K92" s="262"/>
      <c r="L92" s="263"/>
      <c r="M92" s="262"/>
      <c r="N92" s="262"/>
      <c r="O92" s="263"/>
      <c r="P92" s="263"/>
      <c r="Q92" s="262"/>
      <c r="R92" s="263"/>
    </row>
    <row r="93" spans="1:18" s="265" customFormat="1" ht="18" customHeight="1">
      <c r="A93" s="233">
        <v>1.24</v>
      </c>
      <c r="B93" s="188" t="s">
        <v>448</v>
      </c>
      <c r="C93" s="259"/>
      <c r="D93" s="260"/>
      <c r="E93" s="261"/>
      <c r="F93" s="260"/>
      <c r="G93" s="262"/>
      <c r="H93" s="286"/>
      <c r="I93" s="262"/>
      <c r="J93" s="263"/>
      <c r="K93" s="262"/>
      <c r="L93" s="263"/>
      <c r="M93" s="262"/>
      <c r="N93" s="262"/>
      <c r="O93" s="263"/>
      <c r="P93" s="263"/>
      <c r="Q93" s="262"/>
      <c r="R93" s="263"/>
    </row>
    <row r="94" spans="1:18" s="265" customFormat="1" ht="18" customHeight="1">
      <c r="A94" s="233"/>
      <c r="B94" s="185" t="s">
        <v>375</v>
      </c>
      <c r="C94" s="190" t="s">
        <v>446</v>
      </c>
      <c r="D94" s="191">
        <f>F94+E94</f>
        <v>149870.88</v>
      </c>
      <c r="E94" s="192"/>
      <c r="F94" s="191">
        <f>150000-129-0.12</f>
        <v>149870.88</v>
      </c>
      <c r="G94" s="193">
        <f>J94+I94</f>
        <v>149870.88</v>
      </c>
      <c r="H94" s="286">
        <f>G94*100/D94</f>
        <v>100</v>
      </c>
      <c r="I94" s="193"/>
      <c r="J94" s="193">
        <f>97172.6+22725.2+29973.08</f>
        <v>149870.88</v>
      </c>
      <c r="K94" s="193">
        <f>N94+M94</f>
        <v>0</v>
      </c>
      <c r="L94" s="232">
        <f>K94*100/D94</f>
        <v>0</v>
      </c>
      <c r="M94" s="193"/>
      <c r="N94" s="193">
        <f>52763-30037.8-22725.2</f>
        <v>0</v>
      </c>
      <c r="O94" s="193">
        <f>D94-G94-K94</f>
        <v>0</v>
      </c>
      <c r="P94" s="194">
        <f>O94*100/D94</f>
        <v>0</v>
      </c>
      <c r="Q94" s="193">
        <f>E94-I94-M94</f>
        <v>0</v>
      </c>
      <c r="R94" s="194">
        <f>F94-J94-N94</f>
        <v>0</v>
      </c>
    </row>
    <row r="95" spans="1:18" s="265" customFormat="1" ht="18" customHeight="1">
      <c r="A95" s="233"/>
      <c r="B95" s="185" t="s">
        <v>376</v>
      </c>
      <c r="C95" s="259"/>
      <c r="D95" s="260"/>
      <c r="E95" s="261"/>
      <c r="F95" s="260"/>
      <c r="G95" s="262"/>
      <c r="H95" s="286"/>
      <c r="I95" s="262"/>
      <c r="J95" s="263"/>
      <c r="K95" s="262"/>
      <c r="L95" s="263"/>
      <c r="M95" s="262"/>
      <c r="N95" s="262"/>
      <c r="O95" s="263"/>
      <c r="P95" s="263"/>
      <c r="Q95" s="262"/>
      <c r="R95" s="263"/>
    </row>
    <row r="96" spans="1:18" s="265" customFormat="1" ht="18" customHeight="1">
      <c r="A96" s="233">
        <v>1.25</v>
      </c>
      <c r="B96" s="188" t="s">
        <v>449</v>
      </c>
      <c r="C96" s="259"/>
      <c r="D96" s="260"/>
      <c r="E96" s="261"/>
      <c r="F96" s="260"/>
      <c r="G96" s="262"/>
      <c r="H96" s="286"/>
      <c r="I96" s="262"/>
      <c r="J96" s="263"/>
      <c r="K96" s="262"/>
      <c r="L96" s="263"/>
      <c r="M96" s="262"/>
      <c r="N96" s="262"/>
      <c r="O96" s="263"/>
      <c r="P96" s="263"/>
      <c r="Q96" s="262"/>
      <c r="R96" s="263"/>
    </row>
    <row r="97" spans="1:18" s="265" customFormat="1" ht="18" customHeight="1">
      <c r="A97" s="233"/>
      <c r="B97" s="185" t="s">
        <v>369</v>
      </c>
      <c r="C97" s="190" t="s">
        <v>451</v>
      </c>
      <c r="D97" s="191">
        <f>F97+E97</f>
        <v>199902.55</v>
      </c>
      <c r="E97" s="192"/>
      <c r="F97" s="191">
        <f>200000-97-0.45</f>
        <v>199902.55</v>
      </c>
      <c r="G97" s="193">
        <f>J97+I97</f>
        <v>199902.55</v>
      </c>
      <c r="H97" s="286">
        <f>G97*100/D97</f>
        <v>100</v>
      </c>
      <c r="I97" s="193"/>
      <c r="J97" s="193">
        <f>72868.95+37439.6+69394+20200</f>
        <v>199902.55</v>
      </c>
      <c r="K97" s="193">
        <f>N97+M97</f>
        <v>0</v>
      </c>
      <c r="L97" s="286">
        <f>K97*100/D97</f>
        <v>0</v>
      </c>
      <c r="M97" s="193"/>
      <c r="N97" s="193">
        <f>37439.6-37439.6</f>
        <v>0</v>
      </c>
      <c r="O97" s="193">
        <f>D97-G97-K97</f>
        <v>0</v>
      </c>
      <c r="P97" s="194">
        <f>O97*100/D97</f>
        <v>0</v>
      </c>
      <c r="Q97" s="193">
        <f>E97-I97-M97</f>
        <v>0</v>
      </c>
      <c r="R97" s="194">
        <f>F97-J97-N97</f>
        <v>0</v>
      </c>
    </row>
    <row r="98" spans="1:18" s="265" customFormat="1" ht="18" customHeight="1">
      <c r="A98" s="233"/>
      <c r="B98" s="185" t="s">
        <v>450</v>
      </c>
      <c r="C98" s="259"/>
      <c r="D98" s="260"/>
      <c r="E98" s="261"/>
      <c r="F98" s="260"/>
      <c r="G98" s="262"/>
      <c r="H98" s="286"/>
      <c r="I98" s="262"/>
      <c r="J98" s="263"/>
      <c r="K98" s="262"/>
      <c r="L98" s="263"/>
      <c r="M98" s="262"/>
      <c r="N98" s="262"/>
      <c r="O98" s="263"/>
      <c r="P98" s="263"/>
      <c r="Q98" s="262"/>
      <c r="R98" s="263"/>
    </row>
    <row r="99" spans="1:18" s="265" customFormat="1" ht="18" customHeight="1">
      <c r="A99" s="205"/>
      <c r="B99" s="206"/>
      <c r="C99" s="207"/>
      <c r="D99" s="295"/>
      <c r="E99" s="296"/>
      <c r="F99" s="295"/>
      <c r="G99" s="297"/>
      <c r="H99" s="298"/>
      <c r="I99" s="297"/>
      <c r="J99" s="299"/>
      <c r="K99" s="297"/>
      <c r="L99" s="299"/>
      <c r="M99" s="297"/>
      <c r="N99" s="297"/>
      <c r="O99" s="299"/>
      <c r="P99" s="299"/>
      <c r="Q99" s="297"/>
      <c r="R99" s="299"/>
    </row>
    <row r="100" spans="1:19" s="265" customFormat="1" ht="18" customHeight="1">
      <c r="A100" s="300">
        <v>1.26</v>
      </c>
      <c r="B100" s="301" t="s">
        <v>452</v>
      </c>
      <c r="C100" s="302"/>
      <c r="D100" s="303"/>
      <c r="E100" s="304"/>
      <c r="F100" s="303"/>
      <c r="G100" s="305"/>
      <c r="H100" s="306"/>
      <c r="I100" s="305"/>
      <c r="J100" s="307"/>
      <c r="K100" s="305"/>
      <c r="L100" s="307"/>
      <c r="M100" s="305"/>
      <c r="N100" s="305"/>
      <c r="O100" s="307"/>
      <c r="P100" s="307"/>
      <c r="Q100" s="305"/>
      <c r="R100" s="307"/>
      <c r="S100" s="265">
        <v>4</v>
      </c>
    </row>
    <row r="101" spans="1:18" s="265" customFormat="1" ht="18" customHeight="1">
      <c r="A101" s="233"/>
      <c r="B101" s="185" t="s">
        <v>371</v>
      </c>
      <c r="C101" s="190" t="s">
        <v>451</v>
      </c>
      <c r="D101" s="191">
        <f>F101+E101</f>
        <v>99867.6</v>
      </c>
      <c r="E101" s="192"/>
      <c r="F101" s="191">
        <f>100000-132-0.4</f>
        <v>99867.6</v>
      </c>
      <c r="G101" s="193">
        <f>J101+I101</f>
        <v>99867.6</v>
      </c>
      <c r="H101" s="286">
        <f>G101*100/D101</f>
        <v>100</v>
      </c>
      <c r="I101" s="193"/>
      <c r="J101" s="193">
        <f>44737+52995.6+2135</f>
        <v>99867.6</v>
      </c>
      <c r="K101" s="193">
        <f>N101+M101</f>
        <v>0</v>
      </c>
      <c r="L101" s="232">
        <f>K101*100/D101</f>
        <v>0</v>
      </c>
      <c r="M101" s="193"/>
      <c r="N101" s="193"/>
      <c r="O101" s="193">
        <f>D101-G101-K101</f>
        <v>0</v>
      </c>
      <c r="P101" s="194">
        <f>O101*100/D101</f>
        <v>0</v>
      </c>
      <c r="Q101" s="193">
        <f>E101-I101-M101</f>
        <v>0</v>
      </c>
      <c r="R101" s="194">
        <f>F101-J101-N101</f>
        <v>0</v>
      </c>
    </row>
    <row r="102" spans="1:18" s="265" customFormat="1" ht="18" customHeight="1">
      <c r="A102" s="233"/>
      <c r="B102" s="185" t="s">
        <v>453</v>
      </c>
      <c r="C102" s="259"/>
      <c r="D102" s="260"/>
      <c r="E102" s="261"/>
      <c r="F102" s="260"/>
      <c r="G102" s="262"/>
      <c r="H102" s="286"/>
      <c r="I102" s="262"/>
      <c r="J102" s="263"/>
      <c r="K102" s="262"/>
      <c r="L102" s="263"/>
      <c r="M102" s="262"/>
      <c r="N102" s="262"/>
      <c r="O102" s="263"/>
      <c r="P102" s="263"/>
      <c r="Q102" s="262"/>
      <c r="R102" s="263"/>
    </row>
    <row r="103" spans="1:18" s="265" customFormat="1" ht="18" customHeight="1">
      <c r="A103" s="233">
        <v>1.27</v>
      </c>
      <c r="B103" s="188" t="s">
        <v>454</v>
      </c>
      <c r="C103" s="259"/>
      <c r="D103" s="260"/>
      <c r="E103" s="261"/>
      <c r="F103" s="260"/>
      <c r="G103" s="262"/>
      <c r="H103" s="286"/>
      <c r="I103" s="262"/>
      <c r="J103" s="263"/>
      <c r="K103" s="262"/>
      <c r="L103" s="263"/>
      <c r="M103" s="262"/>
      <c r="N103" s="262"/>
      <c r="O103" s="263"/>
      <c r="P103" s="263"/>
      <c r="Q103" s="262"/>
      <c r="R103" s="263"/>
    </row>
    <row r="104" spans="1:18" s="265" customFormat="1" ht="18" customHeight="1">
      <c r="A104" s="233"/>
      <c r="B104" s="185" t="s">
        <v>372</v>
      </c>
      <c r="C104" s="190" t="s">
        <v>451</v>
      </c>
      <c r="D104" s="191">
        <f>F104+E104</f>
        <v>149876.6</v>
      </c>
      <c r="E104" s="192"/>
      <c r="F104" s="191">
        <f>150000-123-0.4</f>
        <v>149876.6</v>
      </c>
      <c r="G104" s="193">
        <f>J104+I104</f>
        <v>149876.59999999998</v>
      </c>
      <c r="H104" s="286">
        <f>G104*100/D104</f>
        <v>99.99999999999999</v>
      </c>
      <c r="I104" s="193"/>
      <c r="J104" s="193">
        <f>26950+79493.4+40443.2+2990</f>
        <v>149876.59999999998</v>
      </c>
      <c r="K104" s="193">
        <f>N104+M104</f>
        <v>0</v>
      </c>
      <c r="L104" s="232">
        <f>K104*100/D104</f>
        <v>0</v>
      </c>
      <c r="M104" s="193"/>
      <c r="N104" s="193">
        <f>40443.2-40443.2</f>
        <v>0</v>
      </c>
      <c r="O104" s="193">
        <f>D104-G104-K104</f>
        <v>2.9103830456733704E-11</v>
      </c>
      <c r="P104" s="194">
        <f>O104*100/D104</f>
        <v>1.9418528614028942E-14</v>
      </c>
      <c r="Q104" s="193">
        <f>E104-I104-M104</f>
        <v>0</v>
      </c>
      <c r="R104" s="194">
        <f>F104-J104-N104</f>
        <v>2.9103830456733704E-11</v>
      </c>
    </row>
    <row r="105" spans="1:18" s="265" customFormat="1" ht="18" customHeight="1">
      <c r="A105" s="233"/>
      <c r="B105" s="185" t="s">
        <v>453</v>
      </c>
      <c r="C105" s="259"/>
      <c r="D105" s="260"/>
      <c r="E105" s="261"/>
      <c r="F105" s="260"/>
      <c r="G105" s="262"/>
      <c r="H105" s="286"/>
      <c r="I105" s="262"/>
      <c r="J105" s="263"/>
      <c r="K105" s="262"/>
      <c r="L105" s="263"/>
      <c r="M105" s="262"/>
      <c r="N105" s="262"/>
      <c r="O105" s="263"/>
      <c r="P105" s="263"/>
      <c r="Q105" s="262"/>
      <c r="R105" s="263"/>
    </row>
    <row r="106" spans="1:18" s="265" customFormat="1" ht="18.75" customHeight="1">
      <c r="A106" s="205"/>
      <c r="B106" s="279" t="s">
        <v>335</v>
      </c>
      <c r="C106" s="280"/>
      <c r="D106" s="281">
        <f>F106+E106</f>
        <v>849388.7</v>
      </c>
      <c r="E106" s="282"/>
      <c r="F106" s="281">
        <f>F91+F94+F97+F101+F104</f>
        <v>849388.7</v>
      </c>
      <c r="G106" s="283">
        <f>J106+I106</f>
        <v>849388.7</v>
      </c>
      <c r="H106" s="287">
        <f>G106*100/D106</f>
        <v>100</v>
      </c>
      <c r="I106" s="283"/>
      <c r="J106" s="285">
        <f>J91+J94+J97+J101+J104</f>
        <v>849388.7</v>
      </c>
      <c r="K106" s="283">
        <f>N106+M106</f>
        <v>0</v>
      </c>
      <c r="L106" s="287">
        <f>K106*100/D106</f>
        <v>0</v>
      </c>
      <c r="M106" s="283"/>
      <c r="N106" s="283">
        <f>N91+N94+N97+N101+N104</f>
        <v>0</v>
      </c>
      <c r="O106" s="285">
        <f>D106-G106-K106</f>
        <v>0</v>
      </c>
      <c r="P106" s="284">
        <f>O106*100/D106</f>
        <v>0</v>
      </c>
      <c r="Q106" s="283"/>
      <c r="R106" s="284">
        <f>F106-J106-N106</f>
        <v>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4.28125" style="175" customWidth="1"/>
    <col min="2" max="2" width="33.421875" style="175" customWidth="1"/>
    <col min="3" max="3" width="7.7109375" style="175" customWidth="1"/>
    <col min="4" max="4" width="9.7109375" style="175" customWidth="1"/>
    <col min="5" max="5" width="8.85156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8.5742187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8.8515625" style="175" customWidth="1"/>
    <col min="14" max="15" width="10.421875" style="175" customWidth="1"/>
    <col min="16" max="16" width="5.57421875" style="175" customWidth="1"/>
    <col min="17" max="17" width="8.140625" style="175" customWidth="1"/>
    <col min="18" max="18" width="10.7109375" style="175" customWidth="1"/>
    <col min="19" max="16384" width="9.140625" style="175" customWidth="1"/>
  </cols>
  <sheetData>
    <row r="1" spans="1:18" ht="15.75">
      <c r="A1" s="316" t="s">
        <v>477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15.75" customHeight="1">
      <c r="A2" s="317" t="s">
        <v>0</v>
      </c>
      <c r="B2" s="317" t="s">
        <v>1</v>
      </c>
      <c r="C2" s="318" t="s">
        <v>2</v>
      </c>
      <c r="D2" s="319" t="s">
        <v>3</v>
      </c>
      <c r="E2" s="319"/>
      <c r="F2" s="319"/>
      <c r="G2" s="319" t="s">
        <v>7</v>
      </c>
      <c r="H2" s="319"/>
      <c r="I2" s="319"/>
      <c r="J2" s="319"/>
      <c r="K2" s="319" t="s">
        <v>9</v>
      </c>
      <c r="L2" s="319"/>
      <c r="M2" s="319"/>
      <c r="N2" s="319"/>
      <c r="O2" s="319" t="s">
        <v>10</v>
      </c>
      <c r="P2" s="319"/>
      <c r="Q2" s="319"/>
      <c r="R2" s="319"/>
    </row>
    <row r="3" spans="1:18" ht="14.25" customHeight="1">
      <c r="A3" s="317"/>
      <c r="B3" s="317"/>
      <c r="C3" s="318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468</v>
      </c>
      <c r="C4" s="179"/>
      <c r="D4" s="180">
        <f>E4+F4</f>
        <v>29137237.93</v>
      </c>
      <c r="E4" s="181">
        <f>SUM(E7)</f>
        <v>0</v>
      </c>
      <c r="F4" s="181">
        <f>SUM(F7)</f>
        <v>29137237.93</v>
      </c>
      <c r="G4" s="182">
        <f>I4+J4</f>
        <v>29137237.93</v>
      </c>
      <c r="H4" s="278">
        <f>G4*100/D4</f>
        <v>100</v>
      </c>
      <c r="I4" s="181">
        <f>SUM(I7)</f>
        <v>0</v>
      </c>
      <c r="J4" s="181">
        <f>SUM(J7)</f>
        <v>29137237.93</v>
      </c>
      <c r="K4" s="182">
        <f>M4+N4</f>
        <v>1.6880221664905548E-09</v>
      </c>
      <c r="L4" s="278">
        <f>K4*100/D4</f>
        <v>5.793349975539548E-15</v>
      </c>
      <c r="M4" s="181">
        <f>SUM(M7)</f>
        <v>0</v>
      </c>
      <c r="N4" s="181">
        <f>SUM(N7)</f>
        <v>1.6880221664905548E-09</v>
      </c>
      <c r="O4" s="181">
        <f>Q4+R4</f>
        <v>-1.6880221664905548E-09</v>
      </c>
      <c r="P4" s="181">
        <f>O4*100/D4</f>
        <v>-5.793349975539548E-15</v>
      </c>
      <c r="Q4" s="181">
        <f>SUM(Q7)</f>
        <v>0</v>
      </c>
      <c r="R4" s="181">
        <f>SUM(R7)</f>
        <v>-1.6880221664905548E-09</v>
      </c>
    </row>
    <row r="5" spans="1:18" ht="21" customHeight="1">
      <c r="A5" s="183"/>
      <c r="B5" s="184" t="s">
        <v>463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464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465</v>
      </c>
      <c r="C7" s="190" t="s">
        <v>467</v>
      </c>
      <c r="D7" s="292">
        <f>F7+E7</f>
        <v>29137237.93</v>
      </c>
      <c r="E7" s="223"/>
      <c r="F7" s="292">
        <f>30000000-862762.07</f>
        <v>29137237.93</v>
      </c>
      <c r="G7" s="194">
        <f>I7+J7</f>
        <v>29137237.93</v>
      </c>
      <c r="H7" s="194">
        <f>G7*100/D7</f>
        <v>100</v>
      </c>
      <c r="I7" s="194"/>
      <c r="J7" s="194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+154740+1494040+62953.39+154740+351000+1547719.55+12000+16325+96382+57418.9+703729+151740+8275+53900+34528.79+329479+25000+82170+296280+351000+526278.75+8491+156540+713913.3+162309.8+104360+40427.55+491172.8</f>
        <v>29137237.93</v>
      </c>
      <c r="K7" s="194">
        <f>M7+N7</f>
        <v>1.6880221664905548E-09</v>
      </c>
      <c r="L7" s="194">
        <f>K7*100/D7</f>
        <v>5.793349975539548E-15</v>
      </c>
      <c r="M7" s="194"/>
      <c r="N7" s="194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+193224.7-1218280+216202.5+3050.4+164202.95-648317.95-296280-66124+28522.95+8180-1364-39626.1-46051.75-80-65921.6-92492.7-96.4-24808.1-502.25-220-86739-1494040-351000+31400-6005.4-1640+31518.9-703729-67.6-24.4-296280-351000-526278.75-162309.8</f>
        <v>1.6880221664905548E-09</v>
      </c>
      <c r="O7" s="194">
        <f>D7-G7-K7</f>
        <v>-1.6880221664905548E-09</v>
      </c>
      <c r="P7" s="194">
        <f>O7*100/D7</f>
        <v>-5.793349975539548E-15</v>
      </c>
      <c r="Q7" s="194">
        <f>E7-I7-M7</f>
        <v>0</v>
      </c>
      <c r="R7" s="194">
        <f>F7-J7-N7</f>
        <v>-1.6880221664905548E-09</v>
      </c>
    </row>
    <row r="8" spans="1:18" ht="16.5" customHeight="1">
      <c r="A8" s="183"/>
      <c r="B8" s="185" t="s">
        <v>466</v>
      </c>
      <c r="C8" s="288"/>
      <c r="D8" s="289"/>
      <c r="E8" s="290"/>
      <c r="F8" s="289"/>
      <c r="G8" s="197"/>
      <c r="H8" s="291"/>
      <c r="I8" s="197"/>
      <c r="J8" s="197"/>
      <c r="K8" s="197"/>
      <c r="L8" s="291"/>
      <c r="M8" s="197"/>
      <c r="N8" s="197"/>
      <c r="O8" s="197"/>
      <c r="P8" s="197"/>
      <c r="Q8" s="197"/>
      <c r="R8" s="197"/>
    </row>
    <row r="9" spans="1:18" ht="16.5" customHeight="1">
      <c r="A9" s="183"/>
      <c r="B9" s="185" t="s">
        <v>211</v>
      </c>
      <c r="C9" s="288"/>
      <c r="D9" s="289"/>
      <c r="E9" s="290"/>
      <c r="F9" s="289"/>
      <c r="G9" s="197"/>
      <c r="H9" s="291"/>
      <c r="I9" s="197"/>
      <c r="J9" s="197"/>
      <c r="K9" s="197"/>
      <c r="L9" s="291"/>
      <c r="M9" s="197"/>
      <c r="N9" s="197"/>
      <c r="O9" s="197"/>
      <c r="P9" s="197"/>
      <c r="Q9" s="197"/>
      <c r="R9" s="197"/>
    </row>
    <row r="10" spans="1:18" ht="16.5" customHeight="1">
      <c r="A10" s="183"/>
      <c r="B10" s="185"/>
      <c r="C10" s="288"/>
      <c r="D10" s="289"/>
      <c r="E10" s="290"/>
      <c r="F10" s="289"/>
      <c r="G10" s="197"/>
      <c r="H10" s="291"/>
      <c r="I10" s="197"/>
      <c r="J10" s="197"/>
      <c r="K10" s="197"/>
      <c r="L10" s="291"/>
      <c r="M10" s="197"/>
      <c r="N10" s="197"/>
      <c r="O10" s="197"/>
      <c r="P10" s="197"/>
      <c r="Q10" s="197"/>
      <c r="R10" s="197"/>
    </row>
    <row r="11" spans="1:18" ht="16.5" customHeight="1">
      <c r="A11" s="183"/>
      <c r="B11" s="185"/>
      <c r="C11" s="288"/>
      <c r="D11" s="289"/>
      <c r="E11" s="290"/>
      <c r="F11" s="289"/>
      <c r="G11" s="197"/>
      <c r="H11" s="291"/>
      <c r="I11" s="197"/>
      <c r="J11" s="197"/>
      <c r="K11" s="197"/>
      <c r="L11" s="291"/>
      <c r="M11" s="197"/>
      <c r="N11" s="197"/>
      <c r="O11" s="197"/>
      <c r="P11" s="197"/>
      <c r="Q11" s="197"/>
      <c r="R11" s="197"/>
    </row>
    <row r="12" spans="1:18" ht="17.25" customHeight="1">
      <c r="A12" s="205"/>
      <c r="B12" s="206"/>
      <c r="C12" s="217"/>
      <c r="D12" s="218"/>
      <c r="E12" s="219"/>
      <c r="F12" s="218"/>
      <c r="G12" s="220"/>
      <c r="H12" s="221"/>
      <c r="I12" s="220"/>
      <c r="J12" s="221"/>
      <c r="K12" s="220"/>
      <c r="L12" s="221"/>
      <c r="M12" s="220"/>
      <c r="N12" s="220"/>
      <c r="O12" s="220"/>
      <c r="P12" s="221"/>
      <c r="Q12" s="220"/>
      <c r="R12" s="220"/>
    </row>
    <row r="14" ht="15.75">
      <c r="B14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2017-09-29T08:25:58Z</cp:lastPrinted>
  <dcterms:created xsi:type="dcterms:W3CDTF">2009-12-25T03:29:35Z</dcterms:created>
  <dcterms:modified xsi:type="dcterms:W3CDTF">2017-10-02T03:45:05Z</dcterms:modified>
  <cp:category/>
  <cp:version/>
  <cp:contentType/>
  <cp:contentStatus/>
</cp:coreProperties>
</file>