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ARN\Downloads\"/>
    </mc:Choice>
  </mc:AlternateContent>
  <bookViews>
    <workbookView xWindow="0" yWindow="435" windowWidth="12240" windowHeight="8070"/>
  </bookViews>
  <sheets>
    <sheet name="งบลงทุน (ปี 60)" sheetId="24" r:id="rId1"/>
    <sheet name="งบจังหวัด (30 ล้าน)" sheetId="28" r:id="rId2"/>
  </sheets>
  <definedNames>
    <definedName name="_xlnm.Print_Area" localSheetId="1">'งบจังหวัด (30 ล้าน)'!$A$1:$R$11</definedName>
    <definedName name="_xlnm.Print_Area" localSheetId="0">'งบลงทุน (ปี 60)'!$A$1:$R$122</definedName>
    <definedName name="_xlnm.Print_Titles" localSheetId="1">'งบจังหวัด (30 ล้าน)'!$1:$3</definedName>
    <definedName name="_xlnm.Print_Titles" localSheetId="0">'งบลงทุน (ปี 60)'!$1:$3</definedName>
  </definedNames>
  <calcPr calcId="162913"/>
</workbook>
</file>

<file path=xl/calcChain.xml><?xml version="1.0" encoding="utf-8"?>
<calcChain xmlns="http://schemas.openxmlformats.org/spreadsheetml/2006/main">
  <c r="Q93" i="24" l="1"/>
  <c r="N93" i="24"/>
  <c r="K93" i="24" s="1"/>
  <c r="L93" i="24" s="1"/>
  <c r="J93" i="24"/>
  <c r="G93" i="24"/>
  <c r="H93" i="24" s="1"/>
  <c r="Q89" i="24"/>
  <c r="N89" i="24"/>
  <c r="K89" i="24"/>
  <c r="L89" i="24" s="1"/>
  <c r="J89" i="24"/>
  <c r="R89" i="24" s="1"/>
  <c r="Q85" i="24"/>
  <c r="N85" i="24"/>
  <c r="K85" i="24" s="1"/>
  <c r="L85" i="24" s="1"/>
  <c r="J85" i="24"/>
  <c r="G85" i="24"/>
  <c r="O85" i="24" s="1"/>
  <c r="P85" i="24" s="1"/>
  <c r="Q81" i="24"/>
  <c r="N81" i="24"/>
  <c r="K81" i="24"/>
  <c r="L81" i="24" s="1"/>
  <c r="J81" i="24"/>
  <c r="R81" i="24" s="1"/>
  <c r="Q75" i="24"/>
  <c r="N75" i="24"/>
  <c r="R75" i="24" s="1"/>
  <c r="J75" i="24"/>
  <c r="H75" i="24"/>
  <c r="G75" i="24"/>
  <c r="Q71" i="24"/>
  <c r="N71" i="24"/>
  <c r="K71" i="24"/>
  <c r="L71" i="24" s="1"/>
  <c r="J71" i="24"/>
  <c r="R71" i="24" s="1"/>
  <c r="Q67" i="24"/>
  <c r="N67" i="24"/>
  <c r="R67" i="24" s="1"/>
  <c r="J67" i="24"/>
  <c r="H67" i="24"/>
  <c r="G67" i="24"/>
  <c r="Q63" i="24"/>
  <c r="N63" i="24"/>
  <c r="K63" i="24"/>
  <c r="L63" i="24" s="1"/>
  <c r="J63" i="24"/>
  <c r="R63" i="24" s="1"/>
  <c r="Q59" i="24"/>
  <c r="N59" i="24"/>
  <c r="R59" i="24" s="1"/>
  <c r="J59" i="24"/>
  <c r="G59" i="24" s="1"/>
  <c r="Q8" i="24"/>
  <c r="N8" i="24"/>
  <c r="K8" i="24" s="1"/>
  <c r="Q8" i="28"/>
  <c r="N8" i="28"/>
  <c r="R8" i="28" s="1"/>
  <c r="J8" i="28"/>
  <c r="G8" i="28" s="1"/>
  <c r="Q99" i="24"/>
  <c r="N99" i="24"/>
  <c r="R99" i="24" s="1"/>
  <c r="J99" i="24"/>
  <c r="G99" i="24" s="1"/>
  <c r="Q53" i="24"/>
  <c r="N53" i="24"/>
  <c r="R53" i="24" s="1"/>
  <c r="Q44" i="24"/>
  <c r="N44" i="24"/>
  <c r="R44" i="24" s="1"/>
  <c r="J53" i="24"/>
  <c r="G53" i="24" s="1"/>
  <c r="Q49" i="24"/>
  <c r="N49" i="24"/>
  <c r="K49" i="24" s="1"/>
  <c r="L49" i="24" s="1"/>
  <c r="J49" i="24"/>
  <c r="G49" i="24"/>
  <c r="H49" i="24" s="1"/>
  <c r="Q40" i="24"/>
  <c r="N40" i="24"/>
  <c r="K40" i="24" s="1"/>
  <c r="L40" i="24" s="1"/>
  <c r="J40" i="24"/>
  <c r="G40" i="24"/>
  <c r="Q36" i="24"/>
  <c r="N36" i="24"/>
  <c r="K36" i="24" s="1"/>
  <c r="L36" i="24" s="1"/>
  <c r="J36" i="24"/>
  <c r="G36" i="24"/>
  <c r="H36" i="24" s="1"/>
  <c r="H85" i="24" l="1"/>
  <c r="R85" i="24"/>
  <c r="G81" i="24"/>
  <c r="G89" i="24"/>
  <c r="O93" i="24"/>
  <c r="P93" i="24" s="1"/>
  <c r="R93" i="24"/>
  <c r="O67" i="24"/>
  <c r="P67" i="24" s="1"/>
  <c r="H59" i="24"/>
  <c r="G63" i="24"/>
  <c r="G71" i="24"/>
  <c r="K59" i="24"/>
  <c r="L59" i="24" s="1"/>
  <c r="K67" i="24"/>
  <c r="L67" i="24" s="1"/>
  <c r="K75" i="24"/>
  <c r="L75" i="24" s="1"/>
  <c r="L8" i="24"/>
  <c r="O8" i="24"/>
  <c r="P8" i="24" s="1"/>
  <c r="R8" i="24"/>
  <c r="H8" i="28"/>
  <c r="K8" i="28"/>
  <c r="L8" i="28" s="1"/>
  <c r="H99" i="24"/>
  <c r="O99" i="24"/>
  <c r="P99" i="24" s="1"/>
  <c r="K99" i="24"/>
  <c r="L99" i="24" s="1"/>
  <c r="K53" i="24"/>
  <c r="K44" i="24"/>
  <c r="H53" i="24"/>
  <c r="R49" i="24"/>
  <c r="O49" i="24"/>
  <c r="P49" i="24" s="1"/>
  <c r="O40" i="24"/>
  <c r="P40" i="24" s="1"/>
  <c r="H40" i="24"/>
  <c r="R40" i="24"/>
  <c r="O36" i="24"/>
  <c r="P36" i="24" s="1"/>
  <c r="R36" i="24"/>
  <c r="J44" i="24"/>
  <c r="G44" i="24" s="1"/>
  <c r="Q32" i="24"/>
  <c r="K32" i="24"/>
  <c r="L32" i="24" s="1"/>
  <c r="J32" i="24"/>
  <c r="R32" i="24" s="1"/>
  <c r="R28" i="24"/>
  <c r="Q28" i="24"/>
  <c r="L28" i="24"/>
  <c r="K28" i="24"/>
  <c r="J28" i="24"/>
  <c r="G28" i="24"/>
  <c r="H28" i="24" s="1"/>
  <c r="Q24" i="24"/>
  <c r="N24" i="24"/>
  <c r="K24" i="24" s="1"/>
  <c r="L24" i="24" s="1"/>
  <c r="J24" i="24"/>
  <c r="G24" i="24"/>
  <c r="Q20" i="24"/>
  <c r="N20" i="24"/>
  <c r="K20" i="24"/>
  <c r="L20" i="24" s="1"/>
  <c r="J20" i="24"/>
  <c r="R20" i="24" s="1"/>
  <c r="Q16" i="24"/>
  <c r="N16" i="24"/>
  <c r="K16" i="24" s="1"/>
  <c r="L16" i="24" s="1"/>
  <c r="J16" i="24"/>
  <c r="G16" i="24" s="1"/>
  <c r="I16" i="24"/>
  <c r="Q12" i="24"/>
  <c r="N12" i="24"/>
  <c r="K12" i="24" s="1"/>
  <c r="L12" i="24" s="1"/>
  <c r="J12" i="24"/>
  <c r="G12" i="24"/>
  <c r="J8" i="24"/>
  <c r="G8" i="24"/>
  <c r="H8" i="24" s="1"/>
  <c r="H81" i="24" l="1"/>
  <c r="O81" i="24"/>
  <c r="P81" i="24" s="1"/>
  <c r="H89" i="24"/>
  <c r="O89" i="24"/>
  <c r="P89" i="24" s="1"/>
  <c r="O63" i="24"/>
  <c r="P63" i="24" s="1"/>
  <c r="H63" i="24"/>
  <c r="O75" i="24"/>
  <c r="P75" i="24" s="1"/>
  <c r="O59" i="24"/>
  <c r="P59" i="24" s="1"/>
  <c r="O71" i="24"/>
  <c r="P71" i="24" s="1"/>
  <c r="H71" i="24"/>
  <c r="O8" i="28"/>
  <c r="P8" i="28" s="1"/>
  <c r="L53" i="24"/>
  <c r="O53" i="24"/>
  <c r="P53" i="24" s="1"/>
  <c r="L44" i="24"/>
  <c r="O44" i="24"/>
  <c r="P44" i="24" s="1"/>
  <c r="H44" i="24"/>
  <c r="G32" i="24"/>
  <c r="O28" i="24"/>
  <c r="P28" i="24" s="1"/>
  <c r="O24" i="24"/>
  <c r="P24" i="24" s="1"/>
  <c r="H24" i="24"/>
  <c r="R24" i="24"/>
  <c r="G20" i="24"/>
  <c r="O16" i="24"/>
  <c r="P16" i="24" s="1"/>
  <c r="H16" i="24"/>
  <c r="R16" i="24"/>
  <c r="O12" i="24"/>
  <c r="P12" i="24" s="1"/>
  <c r="H12" i="24"/>
  <c r="R12" i="24"/>
  <c r="D8" i="28"/>
  <c r="Q11" i="28"/>
  <c r="Q4" i="28" s="1"/>
  <c r="M11" i="28"/>
  <c r="M4" i="28" s="1"/>
  <c r="N11" i="28"/>
  <c r="N4" i="28" s="1"/>
  <c r="I11" i="28"/>
  <c r="I4" i="28" s="1"/>
  <c r="E11" i="28"/>
  <c r="E4" i="28" s="1"/>
  <c r="F11" i="28"/>
  <c r="F4" i="28" s="1"/>
  <c r="D99" i="24"/>
  <c r="M96" i="24"/>
  <c r="I96" i="24"/>
  <c r="E96" i="24"/>
  <c r="F96" i="24"/>
  <c r="D93" i="24"/>
  <c r="D89" i="24"/>
  <c r="I56" i="24"/>
  <c r="F119" i="24"/>
  <c r="D119" i="24"/>
  <c r="F115" i="24"/>
  <c r="D115" i="24" s="1"/>
  <c r="F111" i="24"/>
  <c r="F107" i="24"/>
  <c r="D107" i="24"/>
  <c r="F103" i="24"/>
  <c r="D103" i="24" s="1"/>
  <c r="F40" i="24"/>
  <c r="F36" i="24"/>
  <c r="D36" i="24" s="1"/>
  <c r="F32" i="24"/>
  <c r="D32" i="24" s="1"/>
  <c r="F28" i="24"/>
  <c r="D28" i="24" s="1"/>
  <c r="F24" i="24"/>
  <c r="D24" i="24" s="1"/>
  <c r="F20" i="24"/>
  <c r="N119" i="24"/>
  <c r="J119" i="24"/>
  <c r="J115" i="24"/>
  <c r="G115" i="24" s="1"/>
  <c r="N107" i="24"/>
  <c r="K107" i="24" s="1"/>
  <c r="J107" i="24"/>
  <c r="G107" i="24" s="1"/>
  <c r="N111" i="24"/>
  <c r="K111" i="24" s="1"/>
  <c r="J111" i="24"/>
  <c r="G111" i="24" s="1"/>
  <c r="N103" i="24"/>
  <c r="K103" i="24" s="1"/>
  <c r="J103" i="24"/>
  <c r="G119" i="24"/>
  <c r="K115" i="24"/>
  <c r="Q119" i="24"/>
  <c r="Q115" i="24"/>
  <c r="Q111" i="24"/>
  <c r="Q107" i="24"/>
  <c r="Q122" i="24" s="1"/>
  <c r="Q103" i="24"/>
  <c r="M56" i="24"/>
  <c r="E56" i="24"/>
  <c r="D53" i="24"/>
  <c r="D49" i="24"/>
  <c r="D44" i="24"/>
  <c r="I78" i="24"/>
  <c r="M78" i="24"/>
  <c r="E78" i="24"/>
  <c r="F78" i="24"/>
  <c r="D75" i="24"/>
  <c r="D71" i="24"/>
  <c r="D67" i="24"/>
  <c r="D63" i="24"/>
  <c r="Q78" i="24"/>
  <c r="D59" i="24"/>
  <c r="Q96" i="24"/>
  <c r="D85" i="24"/>
  <c r="D81" i="24"/>
  <c r="D40" i="24"/>
  <c r="Q56" i="24"/>
  <c r="D16" i="24"/>
  <c r="D12" i="24"/>
  <c r="D8" i="24"/>
  <c r="G103" i="24"/>
  <c r="D111" i="24"/>
  <c r="R107" i="24"/>
  <c r="O32" i="24" l="1"/>
  <c r="P32" i="24" s="1"/>
  <c r="H32" i="24"/>
  <c r="H20" i="24"/>
  <c r="O20" i="24"/>
  <c r="P20" i="24" s="1"/>
  <c r="Q4" i="24"/>
  <c r="E4" i="24"/>
  <c r="R119" i="24"/>
  <c r="J11" i="28"/>
  <c r="J4" i="28" s="1"/>
  <c r="D11" i="28"/>
  <c r="D4" i="28"/>
  <c r="H103" i="24"/>
  <c r="L115" i="24"/>
  <c r="I4" i="24"/>
  <c r="D78" i="24"/>
  <c r="O111" i="24"/>
  <c r="P111" i="24" s="1"/>
  <c r="H111" i="24"/>
  <c r="N56" i="24"/>
  <c r="K56" i="24" s="1"/>
  <c r="K119" i="24"/>
  <c r="L119" i="24" s="1"/>
  <c r="H115" i="24"/>
  <c r="L107" i="24"/>
  <c r="N96" i="24"/>
  <c r="K96" i="24" s="1"/>
  <c r="O107" i="24"/>
  <c r="P107" i="24" s="1"/>
  <c r="L103" i="24"/>
  <c r="O103" i="24"/>
  <c r="P103" i="24" s="1"/>
  <c r="J96" i="24"/>
  <c r="G96" i="24" s="1"/>
  <c r="H107" i="24"/>
  <c r="D20" i="24"/>
  <c r="D96" i="24"/>
  <c r="O115" i="24"/>
  <c r="P115" i="24" s="1"/>
  <c r="M4" i="24"/>
  <c r="H119" i="24"/>
  <c r="L111" i="24"/>
  <c r="R111" i="24"/>
  <c r="J78" i="24"/>
  <c r="G78" i="24" s="1"/>
  <c r="J122" i="24"/>
  <c r="G122" i="24" s="1"/>
  <c r="R115" i="24"/>
  <c r="F122" i="24"/>
  <c r="N78" i="24"/>
  <c r="K78" i="24" s="1"/>
  <c r="N122" i="24"/>
  <c r="K122" i="24" s="1"/>
  <c r="J56" i="24"/>
  <c r="F56" i="24"/>
  <c r="R103" i="24"/>
  <c r="D122" i="24" l="1"/>
  <c r="R122" i="24"/>
  <c r="H78" i="24"/>
  <c r="G11" i="28"/>
  <c r="H11" i="28" s="1"/>
  <c r="G4" i="28"/>
  <c r="H4" i="28" s="1"/>
  <c r="K11" i="28"/>
  <c r="L11" i="28" s="1"/>
  <c r="K4" i="28"/>
  <c r="L4" i="28" s="1"/>
  <c r="R11" i="28"/>
  <c r="R4" i="28" s="1"/>
  <c r="L96" i="24"/>
  <c r="O96" i="24"/>
  <c r="P96" i="24" s="1"/>
  <c r="L78" i="24"/>
  <c r="H122" i="24"/>
  <c r="R96" i="24"/>
  <c r="O122" i="24"/>
  <c r="P122" i="24" s="1"/>
  <c r="L122" i="24"/>
  <c r="H96" i="24"/>
  <c r="O119" i="24"/>
  <c r="P119" i="24" s="1"/>
  <c r="N4" i="24"/>
  <c r="K4" i="24" s="1"/>
  <c r="O78" i="24"/>
  <c r="P78" i="24" s="1"/>
  <c r="R78" i="24"/>
  <c r="G56" i="24"/>
  <c r="J4" i="24"/>
  <c r="G4" i="24" s="1"/>
  <c r="F4" i="24"/>
  <c r="D4" i="24" s="1"/>
  <c r="R56" i="24"/>
  <c r="D56" i="24"/>
  <c r="O11" i="28" l="1"/>
  <c r="P11" i="28" s="1"/>
  <c r="O4" i="28"/>
  <c r="P4" i="28" s="1"/>
  <c r="L4" i="24"/>
  <c r="R4" i="24"/>
  <c r="O4" i="24" s="1"/>
  <c r="P4" i="24" s="1"/>
  <c r="O56" i="24"/>
  <c r="P56" i="24" s="1"/>
  <c r="L56" i="24"/>
  <c r="H4" i="24"/>
  <c r="H56" i="24"/>
</calcChain>
</file>

<file path=xl/sharedStrings.xml><?xml version="1.0" encoding="utf-8"?>
<sst xmlns="http://schemas.openxmlformats.org/spreadsheetml/2006/main" count="174" uniqueCount="116">
  <si>
    <t>ลำดับ</t>
  </si>
  <si>
    <t>รายการ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</si>
  <si>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</si>
  <si>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</si>
  <si>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</si>
  <si>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</si>
  <si>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</si>
  <si>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</si>
  <si>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</si>
  <si>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</si>
  <si>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</si>
  <si>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ซ่อมแซมบำรุงรักษาเครื่องกำเนิดไฟฟ้าพลังน้ำเขื่อน</t>
  </si>
  <si>
    <t>โครงการส่งน้ำและบำรุงรักษากิ่วลม-กิ่วคอหมา จ.ลำปาง</t>
  </si>
  <si>
    <t>1.20</t>
  </si>
  <si>
    <t>รวมงบลงทุน (งานซ่อมแซมฯ)</t>
  </si>
  <si>
    <t>รวมงบลงทุน (งานปรับปรุงฯ)</t>
  </si>
  <si>
    <t>รวมงบลงทุน (งานกำจัดวัชพืช)</t>
  </si>
  <si>
    <t xml:space="preserve">รหัสงบประมาณ   0700338006410V88 </t>
  </si>
  <si>
    <t xml:space="preserve">รหัสงบประมาณ   0700338006410V94 </t>
  </si>
  <si>
    <t xml:space="preserve">รหัสงบประมาณ   0700338006410603 </t>
  </si>
  <si>
    <t>รหัสงบประมาณ   0700338006410286</t>
  </si>
  <si>
    <t>รหัสงบประมาณ   0700338006410604</t>
  </si>
  <si>
    <t>รหัสงบประมาณ   0700338006410606</t>
  </si>
  <si>
    <t>รหัสงบประมาณ   0700338006410288</t>
  </si>
  <si>
    <t>รหัสงบประมาณ   0700338006410607</t>
  </si>
  <si>
    <t>รหัสงบประมาณ   0700338006410289</t>
  </si>
  <si>
    <t>รหัสงบประมาณ   0700338006410AS1  (ขุดลอกคลองฯ)</t>
  </si>
  <si>
    <t>รหัสงบประมาณ   0700338006410AZ8  (ขุดลอกคลองฯ)</t>
  </si>
  <si>
    <t>รวมงบลงทุน (งานขุดลอกฯ)</t>
  </si>
  <si>
    <t>รหัสงบประมาณ   0700341029420027</t>
  </si>
  <si>
    <t>อาคารป้องกันการกัดเซาะตลิ่งแม่น้ำวังท้ายเขื่อนกิ่วลม</t>
  </si>
  <si>
    <t>บ้านสบมาย หมู่ที่ 2 ต.บ้านแลง อ.เมืองลำปาง จ.ลำปาง</t>
  </si>
  <si>
    <t>17 ต.ค.59</t>
  </si>
  <si>
    <t>รหัสงบประมาณ   0700341027410192</t>
  </si>
  <si>
    <t>ปรับปรุง FTO ของคลอง RMC.กิ่วลมจำนวน 2 แห่ง</t>
  </si>
  <si>
    <t>รหัสงบประมาณ   0700341027410206</t>
  </si>
  <si>
    <t>รหัสงบประมาณ   0700341027420201</t>
  </si>
  <si>
    <t>รหัสงบประมาณ   0700341027420202</t>
  </si>
  <si>
    <t>ปรับปรุงเสริมขอบคอนกรีตคลองส่งน้ำ RMC.กิ่วลม</t>
  </si>
  <si>
    <t>รหัสงบประมาณ   0700341027420081</t>
  </si>
  <si>
    <t>รหัสงบประมาณ   0700338006410287</t>
  </si>
  <si>
    <t>รหัสงบประมาณ   0700338006410605</t>
  </si>
  <si>
    <t>1.18</t>
  </si>
  <si>
    <t>1.19</t>
  </si>
  <si>
    <t>รหัสงบประมาณ   0700338006410608</t>
  </si>
  <si>
    <t>รหัสงบประมาณ   0700338006410CN0 (กำจัดวัชพืช)</t>
  </si>
  <si>
    <t>รหัสงบประมาณ   0700338006410CN1 (กำจัดวัชพืช)</t>
  </si>
  <si>
    <t>รหัสงบประมาณ   0700338006410CM9 (กำจัดวัชพืช)</t>
  </si>
  <si>
    <t>รหัสงบประมาณ   0700338006410DE8 (กำจัดวัชพืช)</t>
  </si>
  <si>
    <t>รหัสงบประมาณ   0700338006410DE9 (กำจัดวัชพืช)</t>
  </si>
  <si>
    <t>แผนงานบูรณาการเสริมสร้างความเข้มแข็งและยั่งยืนให้กับเศรษฐกิจภายในประเทศ ประจำปีงบประมาณ 2560 (เพิ่มเติม)</t>
  </si>
  <si>
    <t xml:space="preserve">รหัสงบประมาณ  0700357097420015 </t>
  </si>
  <si>
    <t>รวมงบลงทุน  (พรบ.เพิ่มเติม)</t>
  </si>
  <si>
    <t>รหัสงบประมาณ   0700341029410063  (ขุดลอกคลองฯ)</t>
  </si>
  <si>
    <t>รหัสงบประมาณ   0700341029410064  (ขุดลอกคลองฯ)</t>
  </si>
  <si>
    <t>ระบบระบายน้ำบริเวณเหนือเขื่อนกิ่วลม จ.ลำปาง</t>
  </si>
  <si>
    <t>1.21</t>
  </si>
  <si>
    <t>1.22</t>
  </si>
  <si>
    <t>บำรุงรักษาหัวงานและคลองส่งน้ำ</t>
  </si>
  <si>
    <t>โครงการส่งน้ำและบำรุงรักษากิ่วลม-กิ่วคอหมา ต.บ้านแลง อ.เมืองลำปาง จ.ลำปาง</t>
  </si>
  <si>
    <t>12 ต.ค. 59</t>
  </si>
  <si>
    <t>วันที่</t>
  </si>
  <si>
    <t>ได้รับอนุมัติ</t>
  </si>
  <si>
    <t xml:space="preserve">บริหารการส่งน้ำโครงการชลประทาน </t>
  </si>
  <si>
    <t>ซ่อมแซมบำรุงรักษาระบบชลประทาน</t>
  </si>
  <si>
    <t>13 ต.ค. 59</t>
  </si>
  <si>
    <t>ซ่อมแซมคลอง RMC.กม.8+500 และคลองซอย</t>
  </si>
  <si>
    <t xml:space="preserve">ซ่อมแซมคลอง RMC.กม.10+060 และคลองซอย </t>
  </si>
  <si>
    <t xml:space="preserve">ซ่อมแซมรอยต่อคอนกรีตสะพานน้ำข้ามลำน้ำตุ๋ย </t>
  </si>
  <si>
    <t>โครงการส่งน้ำและบำรุงรักษากิ่วลม-กิ่วคอหมา ต.บ้านเป้า อ.เมืองลำปาง จ.ลำปาง</t>
  </si>
  <si>
    <t xml:space="preserve">ซ่อมรางระบายน้ำ RMC.กิ่วลม กม.57+407 </t>
  </si>
  <si>
    <t>โครงการส่งน้ำและบำรุงรักษากิ่วลม-กิ่วคอหมา ต.ปงยางคก อ.ห้างฉัตร จ.ลำปาง</t>
  </si>
  <si>
    <t>ซ่อมแซมเครื่องกว้าน และบานระบายคลองซอย</t>
  </si>
  <si>
    <t>โครงการส่งน้ำและบำรุงรักษากิ่วลม-กิ่วคอหมา ต.นิคมพัฒนา อ.เมืองลำปาง จ.ลำปาง</t>
  </si>
  <si>
    <t>1 พ.ย. 59</t>
  </si>
  <si>
    <t>ซ่อมแซมคลองแยกซอย 16.6L-0.5L และ</t>
  </si>
  <si>
    <t>คลองซอย 16.6L</t>
  </si>
  <si>
    <t>ซ่อมแซมอาคารป้องกันตลิ่งแม่น้ำวัง</t>
  </si>
  <si>
    <t xml:space="preserve">ซ่อมแซมคอนกรีตดาดคลอง RMC.กิ่วลม </t>
  </si>
  <si>
    <t xml:space="preserve">ปรับปรุงอาคารบังคับน้ำกลางคลอง RMC.กิ่วลม </t>
  </si>
  <si>
    <t xml:space="preserve">ปรับปรุงคลองซอย 4 RMC.กิ่วคอหมา </t>
  </si>
  <si>
    <t xml:space="preserve">ปรับปรุงคลองซอย 18.3L-RMC.กิ่วลม </t>
  </si>
  <si>
    <t xml:space="preserve">ขุดลอกคลองโดยเรือขุด ดำเนินการเอง </t>
  </si>
  <si>
    <t xml:space="preserve">ขุดลอกคลองโดยรถขุด ดำเนินการเอง </t>
  </si>
  <si>
    <t>เพิ่มประสิทธิภาพระบายน้ำแม่น้ำวัง</t>
  </si>
  <si>
    <t>ด้านท้ายเขื่อนกิ่วคอหมา จ.ลำปาง</t>
  </si>
  <si>
    <t>กม.4+506 โครงการส่งน้ำและบำรุงรักษากิ่วลม-กิ่วคอหมา ต.บุญนาคพัฒนา อ.เมืองลำปาง จ.ลำปาง</t>
  </si>
  <si>
    <t>กม.10+060 โครงการส่งน้ำและบำรุงรักษากิ่วลม-กิ่วคอหมา ต.บุญนาคพัฒนา อ.เมืองลำปาง จ.ลำปาง</t>
  </si>
  <si>
    <t>และคลองสายใหญ่ RMC.กิ่วลม โครงการส่งน้ำและบำรุงรักษากิ่วลม-กิ่วคอหมา ต.บ้านแลง อ.เมืองลำปาง จ.ลำปาง</t>
  </si>
  <si>
    <t>กิ่วลมและบานระบายเขื่อนกิ่วคอหมา จำนวน 2 แห่ง โครงการส่งน้ำและบำรุงรักษากิ่วลม-กิ่วคอหมา ต.บ้านแลง อ.เมืองลำปาง จ.ลำปาง</t>
  </si>
  <si>
    <t>ท้ายเขื่อนกิ่วคอหมา กม.11+150 - กม.11+350 โครงการส่งน้ำและบำรุงรักษากิ่วลม-กิ่วคอหมา ต.ปงดอน อ.แจ้ห่ม จ.ลำปาง</t>
  </si>
  <si>
    <t>กม.42+300 - กม.52+000 โครงการส่งน้ำและบำรุงรักษากิ่วลม-กิ่วคอหมา ต.บ้านเป้า อ.เมืองลำปาง จ.ลำปาง</t>
  </si>
  <si>
    <t>กม.7+604 และกม.9+106 โครงการส่งน้ำและบำรุงรักษากิ่วลม-กิ่วคอหมา จ.ลำปาง</t>
  </si>
  <si>
    <t>กม.55+000 - กม.67+000 จำนวน 2 แห่ง โครงการส่งน้ำและบำรุงรักษากิ่วลม-กิ่วคอหมา จ.ลำปาง</t>
  </si>
  <si>
    <t>พร้อมอาคารประกอบ โครงการส่งน้ำและบำรุงรักษากิ่วลม-กิ่วคอหมา จ.ลำปาง</t>
  </si>
  <si>
    <t>กม.3+000 - กม.18+000 โครงการส่งน้ำและบำรุงรักษากิ่วลม-กิ่วคอหมา จ.ลำปาง</t>
  </si>
  <si>
    <t>21 พ.ย. 59</t>
  </si>
  <si>
    <t>17 ต.ค. 59</t>
  </si>
  <si>
    <t>แม่น้ำวังท้ายเขื่อนกิ่วคอหมา โครงการส่งน้ำและบำรุงรักษากิ่วลม-กิ่วคอหมา ต.บ้านสา อ.แจ้ห่ม จ.ลำปาง</t>
  </si>
  <si>
    <t>แม่น้ำวังท้ายเขื่อนกิ่วคอหมา กม.14+000-กม.19+000 พร้อมขุดทอย โครงการส่งน้ำและบำรุงรักษากิ่วลม-กิ่วคอหมา ต.ปงดอน อ.แจ้ห่ม จ.ลำปาง</t>
  </si>
  <si>
    <t xml:space="preserve">กำจัดวัชพืชคลองระบายห้วยหลวง </t>
  </si>
  <si>
    <t>โครงการส่งน้ำและบำรุงรักษากิ่วลม-กิ่วคอหมา ต.บุญนาคพัฒนา อ.เมือง จ.ลำปาง</t>
  </si>
  <si>
    <t xml:space="preserve">กำจัดวัชพืชคลองระบายห้วยผาตัน </t>
  </si>
  <si>
    <t xml:space="preserve">กำจัดวัชพืชคลองระบายห้วยแม่ไพร </t>
  </si>
  <si>
    <t>โครงการส่งน้ำและบำรุงรักษากิ่วลม-กิ่วคอหมา ต.หนองหล่ม อ.ห้างฉัตร จ.ลำปาง</t>
  </si>
  <si>
    <t xml:space="preserve">กำจัดวัชพืชภายในอ่างเก็บน้ำเขื่อนกิ่วลม </t>
  </si>
  <si>
    <t xml:space="preserve">กำจัดวัชพืชคลองระบายห้วยแม่ตุ๋ย </t>
  </si>
  <si>
    <t>ก่อสร้างฝายชะลอน้ำและเก็บกักน้ำถาวรพร้อม</t>
  </si>
  <si>
    <t>พนังป้องกันตลิ่งแม่น้ำวังด้านท้ายเขื่อนกิ่วลม จำนวน 3 แห่ง ต.บ้านแลง อ.เมืองลำปาง จ.ลำปาง</t>
  </si>
  <si>
    <t>รวมงบลงทุน (งานก่อสร้าง)</t>
  </si>
  <si>
    <r>
      <rPr>
        <b/>
        <u/>
        <sz val="14"/>
        <color indexed="8"/>
        <rFont val="TH Sarabun New"/>
        <family val="2"/>
      </rPr>
      <t>ผลผลิตที่ 1</t>
    </r>
    <r>
      <rPr>
        <b/>
        <sz val="12"/>
        <color indexed="8"/>
        <rFont val="TH Sarabun New"/>
        <family val="2"/>
      </rPr>
      <t xml:space="preserve"> 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</si>
  <si>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24 พ.ย. 59</t>
  </si>
  <si>
    <t>2 ธ.ค. 59</t>
  </si>
  <si>
    <t>21 เม.ย. 60</t>
  </si>
  <si>
    <t>5 เม.ย. 60</t>
  </si>
  <si>
    <t>รายงานผลการเบิกจ่าย  โครงการส่งน้ำและบำรุงรักษากิ่วลม-กิ่วคอหมา  ณ วันที่   25  ส.ค.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</si>
</sst>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.00_ ;\-#,##0.00\ "/>
    <numFmt numFmtId="188" formatCode="0.0"/>
  </numFmts>
  <fonts count="10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b/>
      <sz val="12"/>
      <name val="TH Sarabun New"/>
      <family val="2"/>
    </font>
    <font>
      <sz val="12"/>
      <name val="TH Sarabun New"/>
      <family val="2"/>
    </font>
    <font>
      <b/>
      <u/>
      <sz val="12"/>
      <name val="TH Sarabun New"/>
      <family val="2"/>
    </font>
    <font>
      <b/>
      <sz val="12"/>
      <color indexed="8"/>
      <name val="TH Sarabun New"/>
      <family val="2"/>
    </font>
    <font>
      <b/>
      <u/>
      <sz val="12"/>
      <color indexed="60"/>
      <name val="TH Sarabun New"/>
      <family val="2"/>
    </font>
    <font>
      <b/>
      <sz val="16"/>
      <name val="TH Sarabun New"/>
      <family val="2"/>
    </font>
    <font>
      <b/>
      <u/>
      <sz val="14"/>
      <color indexed="8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43" fontId="4" fillId="6" borderId="1" xfId="1" applyFont="1" applyFill="1" applyBorder="1"/>
    <xf numFmtId="0" fontId="4" fillId="0" borderId="6" xfId="0" applyFont="1" applyBorder="1"/>
    <xf numFmtId="0" fontId="4" fillId="3" borderId="3" xfId="0" applyFont="1" applyFill="1" applyBorder="1" applyAlignment="1">
      <alignment horizontal="center"/>
    </xf>
    <xf numFmtId="0" fontId="5" fillId="4" borderId="2" xfId="0" applyFont="1" applyFill="1" applyBorder="1"/>
    <xf numFmtId="187" fontId="3" fillId="4" borderId="2" xfId="0" applyNumberFormat="1" applyFont="1" applyFill="1" applyBorder="1"/>
    <xf numFmtId="43" fontId="3" fillId="4" borderId="2" xfId="0" applyNumberFormat="1" applyFont="1" applyFill="1" applyBorder="1"/>
    <xf numFmtId="43" fontId="3" fillId="4" borderId="2" xfId="1" applyFont="1" applyFill="1" applyBorder="1"/>
    <xf numFmtId="0" fontId="7" fillId="2" borderId="1" xfId="0" applyFont="1" applyFill="1" applyBorder="1"/>
    <xf numFmtId="0" fontId="4" fillId="2" borderId="2" xfId="0" applyFont="1" applyFill="1" applyBorder="1"/>
    <xf numFmtId="49" fontId="4" fillId="6" borderId="1" xfId="0" applyNumberFormat="1" applyFont="1" applyFill="1" applyBorder="1" applyAlignment="1">
      <alignment horizontal="center"/>
    </xf>
    <xf numFmtId="187" fontId="4" fillId="6" borderId="1" xfId="1" applyNumberFormat="1" applyFont="1" applyFill="1" applyBorder="1" applyAlignment="1">
      <alignment horizontal="right"/>
    </xf>
    <xf numFmtId="187" fontId="4" fillId="6" borderId="1" xfId="1" applyNumberFormat="1" applyFont="1" applyFill="1" applyBorder="1" applyAlignment="1">
      <alignment horizontal="center"/>
    </xf>
    <xf numFmtId="43" fontId="3" fillId="6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187" fontId="4" fillId="2" borderId="1" xfId="0" applyNumberFormat="1" applyFont="1" applyFill="1" applyBorder="1" applyAlignment="1">
      <alignment horizontal="right"/>
    </xf>
    <xf numFmtId="43" fontId="3" fillId="5" borderId="1" xfId="1" applyFont="1" applyFill="1" applyBorder="1"/>
    <xf numFmtId="0" fontId="4" fillId="6" borderId="1" xfId="0" applyFont="1" applyFill="1" applyBorder="1"/>
    <xf numFmtId="187" fontId="3" fillId="6" borderId="1" xfId="0" applyNumberFormat="1" applyFont="1" applyFill="1" applyBorder="1" applyAlignment="1">
      <alignment horizontal="right"/>
    </xf>
    <xf numFmtId="187" fontId="3" fillId="6" borderId="1" xfId="0" applyNumberFormat="1" applyFont="1" applyFill="1" applyBorder="1"/>
    <xf numFmtId="43" fontId="3" fillId="6" borderId="1" xfId="0" applyNumberFormat="1" applyFont="1" applyFill="1" applyBorder="1"/>
    <xf numFmtId="0" fontId="3" fillId="6" borderId="1" xfId="0" applyFont="1" applyFill="1" applyBorder="1"/>
    <xf numFmtId="187" fontId="4" fillId="5" borderId="1" xfId="1" applyNumberFormat="1" applyFont="1" applyFill="1" applyBorder="1" applyAlignment="1">
      <alignment horizontal="right"/>
    </xf>
    <xf numFmtId="187" fontId="4" fillId="5" borderId="1" xfId="1" applyNumberFormat="1" applyFont="1" applyFill="1" applyBorder="1" applyAlignment="1">
      <alignment horizontal="center"/>
    </xf>
    <xf numFmtId="43" fontId="4" fillId="5" borderId="1" xfId="1" applyFont="1" applyFill="1" applyBorder="1"/>
    <xf numFmtId="43" fontId="4" fillId="6" borderId="1" xfId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right"/>
    </xf>
    <xf numFmtId="187" fontId="4" fillId="0" borderId="1" xfId="1" applyNumberFormat="1" applyFont="1" applyFill="1" applyBorder="1" applyAlignment="1">
      <alignment horizontal="center"/>
    </xf>
    <xf numFmtId="43" fontId="4" fillId="0" borderId="1" xfId="1" applyFont="1" applyFill="1" applyBorder="1"/>
    <xf numFmtId="43" fontId="3" fillId="0" borderId="1" xfId="1" applyFont="1" applyFill="1" applyBorder="1"/>
    <xf numFmtId="0" fontId="4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6" borderId="9" xfId="0" applyFont="1" applyFill="1" applyBorder="1"/>
    <xf numFmtId="187" fontId="3" fillId="6" borderId="9" xfId="0" applyNumberFormat="1" applyFont="1" applyFill="1" applyBorder="1" applyAlignment="1">
      <alignment horizontal="right"/>
    </xf>
    <xf numFmtId="187" fontId="3" fillId="6" borderId="9" xfId="0" applyNumberFormat="1" applyFont="1" applyFill="1" applyBorder="1"/>
    <xf numFmtId="43" fontId="3" fillId="6" borderId="9" xfId="0" applyNumberFormat="1" applyFont="1" applyFill="1" applyBorder="1"/>
    <xf numFmtId="43" fontId="3" fillId="6" borderId="9" xfId="1" applyFont="1" applyFill="1" applyBorder="1"/>
    <xf numFmtId="0" fontId="3" fillId="6" borderId="9" xfId="0" applyFont="1" applyFill="1" applyBorder="1"/>
    <xf numFmtId="43" fontId="3" fillId="6" borderId="10" xfId="1" applyFont="1" applyFill="1" applyBorder="1"/>
    <xf numFmtId="0" fontId="4" fillId="2" borderId="11" xfId="0" applyFont="1" applyFill="1" applyBorder="1" applyAlignment="1">
      <alignment horizontal="center"/>
    </xf>
    <xf numFmtId="43" fontId="3" fillId="6" borderId="12" xfId="1" applyFont="1" applyFill="1" applyBorder="1"/>
    <xf numFmtId="49" fontId="4" fillId="6" borderId="11" xfId="0" applyNumberFormat="1" applyFont="1" applyFill="1" applyBorder="1" applyAlignment="1">
      <alignment horizontal="center"/>
    </xf>
    <xf numFmtId="43" fontId="4" fillId="6" borderId="12" xfId="1" applyFont="1" applyFill="1" applyBorder="1"/>
    <xf numFmtId="49" fontId="4" fillId="2" borderId="11" xfId="0" applyNumberFormat="1" applyFont="1" applyFill="1" applyBorder="1" applyAlignment="1">
      <alignment horizontal="center"/>
    </xf>
    <xf numFmtId="187" fontId="3" fillId="5" borderId="14" xfId="0" applyNumberFormat="1" applyFont="1" applyFill="1" applyBorder="1" applyAlignment="1">
      <alignment horizontal="right"/>
    </xf>
    <xf numFmtId="187" fontId="3" fillId="5" borderId="14" xfId="0" applyNumberFormat="1" applyFont="1" applyFill="1" applyBorder="1"/>
    <xf numFmtId="43" fontId="3" fillId="5" borderId="14" xfId="0" applyNumberFormat="1" applyFont="1" applyFill="1" applyBorder="1"/>
    <xf numFmtId="43" fontId="3" fillId="5" borderId="14" xfId="1" applyFont="1" applyFill="1" applyBorder="1"/>
    <xf numFmtId="43" fontId="3" fillId="5" borderId="15" xfId="1" applyFont="1" applyFill="1" applyBorder="1"/>
    <xf numFmtId="0" fontId="6" fillId="2" borderId="4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6" fillId="2" borderId="1" xfId="0" applyFont="1" applyFill="1" applyBorder="1" applyAlignment="1">
      <alignment horizontal="left" vertical="center"/>
    </xf>
    <xf numFmtId="43" fontId="4" fillId="2" borderId="1" xfId="1" applyFont="1" applyFill="1" applyBorder="1"/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2" xfId="0" applyFont="1" applyFill="1" applyBorder="1"/>
    <xf numFmtId="0" fontId="4" fillId="6" borderId="12" xfId="0" applyFont="1" applyFill="1" applyBorder="1"/>
    <xf numFmtId="188" fontId="4" fillId="2" borderId="1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4" fillId="0" borderId="9" xfId="0" applyFont="1" applyFill="1" applyBorder="1"/>
    <xf numFmtId="187" fontId="3" fillId="0" borderId="9" xfId="0" applyNumberFormat="1" applyFont="1" applyFill="1" applyBorder="1" applyAlignment="1">
      <alignment horizontal="right"/>
    </xf>
    <xf numFmtId="187" fontId="3" fillId="0" borderId="9" xfId="0" applyNumberFormat="1" applyFont="1" applyFill="1" applyBorder="1"/>
    <xf numFmtId="43" fontId="3" fillId="0" borderId="9" xfId="0" applyNumberFormat="1" applyFont="1" applyFill="1" applyBorder="1"/>
    <xf numFmtId="43" fontId="3" fillId="0" borderId="9" xfId="1" applyFont="1" applyFill="1" applyBorder="1"/>
    <xf numFmtId="43" fontId="3" fillId="0" borderId="10" xfId="1" applyFont="1" applyFill="1" applyBorder="1"/>
    <xf numFmtId="43" fontId="4" fillId="5" borderId="12" xfId="1" applyFont="1" applyFill="1" applyBorder="1"/>
    <xf numFmtId="43" fontId="4" fillId="0" borderId="12" xfId="1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  <xf numFmtId="43" fontId="4" fillId="6" borderId="1" xfId="1" applyFont="1" applyFill="1" applyBorder="1" applyAlignment="1">
      <alignment vertical="center"/>
    </xf>
    <xf numFmtId="43" fontId="4" fillId="6" borderId="12" xfId="1" applyFont="1" applyFill="1" applyBorder="1" applyAlignment="1">
      <alignment vertical="center"/>
    </xf>
    <xf numFmtId="187" fontId="3" fillId="6" borderId="1" xfId="0" applyNumberFormat="1" applyFont="1" applyFill="1" applyBorder="1" applyAlignment="1">
      <alignment horizontal="right" vertical="center"/>
    </xf>
    <xf numFmtId="43" fontId="3" fillId="6" borderId="1" xfId="0" applyNumberFormat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187" fontId="4" fillId="6" borderId="1" xfId="1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/>
    </xf>
  </cellXfs>
  <cellStyles count="3">
    <cellStyle name="Comma 2" xfId="2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zoomScale="70" zoomScaleNormal="70" workbookViewId="0">
      <pane ySplit="4" topLeftCell="A104" activePane="bottomLeft" state="frozen"/>
      <selection pane="bottomLeft" activeCell="A2" sqref="A2:A3"/>
    </sheetView>
  </sheetViews>
  <sheetFormatPr defaultRowHeight="18.75" x14ac:dyDescent="0.45"/>
  <cols>
    <col min="1" max="1" width="4.7109375" style="1" customWidth="1"/>
    <col min="2" max="2" width="33.7109375" style="37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4" customFormat="1" ht="24" customHeight="1" x14ac:dyDescent="0.2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8.95" customHeight="1" x14ac:dyDescent="0.45">
      <c r="A2" s="86" t="s">
        <v>0</v>
      </c>
      <c r="B2" s="86" t="s">
        <v>1</v>
      </c>
      <c r="C2" s="28" t="s">
        <v>61</v>
      </c>
      <c r="D2" s="87" t="s">
        <v>2</v>
      </c>
      <c r="E2" s="87"/>
      <c r="F2" s="87"/>
      <c r="G2" s="87" t="s">
        <v>6</v>
      </c>
      <c r="H2" s="87"/>
      <c r="I2" s="87"/>
      <c r="J2" s="87"/>
      <c r="K2" s="87" t="s">
        <v>8</v>
      </c>
      <c r="L2" s="87"/>
      <c r="M2" s="87"/>
      <c r="N2" s="87"/>
      <c r="O2" s="87" t="s">
        <v>9</v>
      </c>
      <c r="P2" s="87"/>
      <c r="Q2" s="87"/>
      <c r="R2" s="87"/>
    </row>
    <row r="3" spans="1:18" ht="18.95" customHeight="1" x14ac:dyDescent="0.45">
      <c r="A3" s="86"/>
      <c r="B3" s="86"/>
      <c r="C3" s="29" t="s">
        <v>62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2" customFormat="1" ht="18.95" customHeight="1" x14ac:dyDescent="0.45">
      <c r="A4" s="30"/>
      <c r="B4" s="35" t="s">
        <v>10</v>
      </c>
      <c r="C4" s="31"/>
      <c r="D4" s="6">
        <f>E4+F4</f>
        <v>115189225</v>
      </c>
      <c r="E4" s="7">
        <f>SUM(E56+E78+E96+E99+E122)</f>
        <v>1007287</v>
      </c>
      <c r="F4" s="7">
        <f>SUM(F56+F78+F96+F99+F122)</f>
        <v>114181938</v>
      </c>
      <c r="G4" s="8">
        <f>I4+J4</f>
        <v>107876719.25000001</v>
      </c>
      <c r="H4" s="8">
        <f>G4*100/D4</f>
        <v>93.65174498743265</v>
      </c>
      <c r="I4" s="7">
        <f>SUM(I56+I78+I96+I99+I122)</f>
        <v>1007139.43</v>
      </c>
      <c r="J4" s="7">
        <f>SUM(J56+J78+J96+J99+J122)</f>
        <v>106869579.82000001</v>
      </c>
      <c r="K4" s="8">
        <f>M4+N4</f>
        <v>4109205.6700000013</v>
      </c>
      <c r="L4" s="8">
        <f>K4*100/D4</f>
        <v>3.5673524758934709</v>
      </c>
      <c r="M4" s="7">
        <f>SUM(M56+M78+M96+M99+M122)</f>
        <v>0</v>
      </c>
      <c r="N4" s="7">
        <f>SUM(N56+N78+N96+N99+N122)</f>
        <v>4109205.6700000013</v>
      </c>
      <c r="O4" s="7">
        <f>Q4+R4</f>
        <v>3203300.0799999968</v>
      </c>
      <c r="P4" s="7">
        <f>O4*100/D4</f>
        <v>2.7809025366738922</v>
      </c>
      <c r="Q4" s="7">
        <f>SUM(Q56+Q78+Q96+Q99+Q122)</f>
        <v>147.56999999994878</v>
      </c>
      <c r="R4" s="7">
        <f>SUM(R56+R78+R96+R99+R122)</f>
        <v>3203152.509999997</v>
      </c>
    </row>
    <row r="5" spans="1:18" ht="18.95" customHeight="1" x14ac:dyDescent="0.45">
      <c r="A5" s="66">
        <v>1</v>
      </c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7"/>
    </row>
    <row r="6" spans="1:18" ht="18.95" customHeight="1" x14ac:dyDescent="0.45">
      <c r="A6" s="52"/>
      <c r="B6" s="6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8"/>
    </row>
    <row r="7" spans="1:18" ht="18.95" customHeight="1" x14ac:dyDescent="0.45">
      <c r="A7" s="52"/>
      <c r="B7" s="36" t="s">
        <v>17</v>
      </c>
      <c r="C7" s="15"/>
      <c r="D7" s="16"/>
      <c r="E7" s="15"/>
      <c r="F7" s="16"/>
      <c r="G7" s="15"/>
      <c r="H7" s="19"/>
      <c r="I7" s="15"/>
      <c r="J7" s="65"/>
      <c r="K7" s="15"/>
      <c r="L7" s="15"/>
      <c r="M7" s="15"/>
      <c r="N7" s="15"/>
      <c r="O7" s="15"/>
      <c r="P7" s="15"/>
      <c r="Q7" s="15"/>
      <c r="R7" s="69"/>
    </row>
    <row r="8" spans="1:18" ht="18.95" customHeight="1" x14ac:dyDescent="0.45">
      <c r="A8" s="52">
        <v>1.1000000000000001</v>
      </c>
      <c r="B8" s="33" t="s">
        <v>58</v>
      </c>
      <c r="C8" s="11" t="s">
        <v>60</v>
      </c>
      <c r="D8" s="12">
        <f>F8+E8</f>
        <v>4443200</v>
      </c>
      <c r="E8" s="13"/>
      <c r="F8" s="12">
        <v>4443200</v>
      </c>
      <c r="G8" s="2">
        <f>J8+I8</f>
        <v>3203023.68</v>
      </c>
      <c r="H8" s="14">
        <f>G8*100/D8</f>
        <v>72.088217500900257</v>
      </c>
      <c r="I8" s="2"/>
      <c r="J8" s="2">
        <f>49180+118707+49376.8+79054.8+15468+14747+277398.35+74274+9012+129053.25+31545+8165+11998.6+181102.5+43034.6+20018+99776+15360+158310.55+38481.48+4140+36281.75+99765+80082.8+31536+30600+5823+245437.2+31545+15224+27950.4+17318+8550+266267.8+8000.9+11602.2+21097+270128+97896+14997+50131+20018+99487+4931+163403.1+15900+7645+55555+37648.6</f>
        <v>3203023.68</v>
      </c>
      <c r="K8" s="92">
        <f>N8+M8</f>
        <v>488581.4</v>
      </c>
      <c r="L8" s="92">
        <f>K8*100/D8</f>
        <v>10.996160424918978</v>
      </c>
      <c r="M8" s="92"/>
      <c r="N8" s="92">
        <f>142568+10080+29154.4-79054.8-23853.6-74274+27032.4-4620+18000+68987.75-11998.6+102108-43034.6-20018-80082.8+23500-12024.4+4463-31536-27950.4-17318+2587.8+14421.6-115.75-12.6+30000+1500-11602.2-4807.2+4413+9614.4-600+9209+20018+12018-50131-20018+63075.6+8259+25240+109087.5+36054+44140.5-37648.6+79990+99000+31380+13380</f>
        <v>488581.4</v>
      </c>
      <c r="O8" s="92">
        <f>D8-G8-K8</f>
        <v>751594.91999999981</v>
      </c>
      <c r="P8" s="92">
        <f>O8*100/D8</f>
        <v>16.915622074180767</v>
      </c>
      <c r="Q8" s="92">
        <f>E8-I8-M8</f>
        <v>0</v>
      </c>
      <c r="R8" s="93">
        <f>F8-J8-N8</f>
        <v>751594.91999999981</v>
      </c>
    </row>
    <row r="9" spans="1:18" ht="18.95" customHeight="1" x14ac:dyDescent="0.45">
      <c r="A9" s="52"/>
      <c r="B9" s="33" t="s">
        <v>59</v>
      </c>
      <c r="C9" s="15"/>
      <c r="D9" s="16"/>
      <c r="E9" s="15"/>
      <c r="F9" s="16"/>
      <c r="G9" s="15"/>
      <c r="H9" s="15"/>
      <c r="I9" s="15"/>
      <c r="J9" s="65"/>
      <c r="K9" s="15"/>
      <c r="L9" s="15"/>
      <c r="M9" s="15"/>
      <c r="N9" s="15"/>
      <c r="O9" s="15"/>
      <c r="P9" s="15"/>
      <c r="Q9" s="15"/>
      <c r="R9" s="69"/>
    </row>
    <row r="10" spans="1:18" ht="18.95" customHeight="1" x14ac:dyDescent="0.45">
      <c r="A10" s="52"/>
      <c r="B10" s="33"/>
      <c r="C10" s="15"/>
      <c r="D10" s="16"/>
      <c r="E10" s="15"/>
      <c r="F10" s="16"/>
      <c r="G10" s="15"/>
      <c r="H10" s="15"/>
      <c r="I10" s="15"/>
      <c r="J10" s="65"/>
      <c r="K10" s="15"/>
      <c r="L10" s="15"/>
      <c r="M10" s="15"/>
      <c r="N10" s="15"/>
      <c r="O10" s="15"/>
      <c r="P10" s="15"/>
      <c r="Q10" s="15"/>
      <c r="R10" s="69"/>
    </row>
    <row r="11" spans="1:18" ht="18.95" customHeight="1" x14ac:dyDescent="0.45">
      <c r="A11" s="52"/>
      <c r="B11" s="36" t="s">
        <v>18</v>
      </c>
      <c r="C11" s="15"/>
      <c r="D11" s="16"/>
      <c r="E11" s="15"/>
      <c r="F11" s="16"/>
      <c r="G11" s="15"/>
      <c r="H11" s="15"/>
      <c r="I11" s="15"/>
      <c r="J11" s="65"/>
      <c r="K11" s="15"/>
      <c r="L11" s="15"/>
      <c r="M11" s="15"/>
      <c r="N11" s="15"/>
      <c r="O11" s="15"/>
      <c r="P11" s="15"/>
      <c r="Q11" s="15"/>
      <c r="R11" s="69"/>
    </row>
    <row r="12" spans="1:18" ht="18.95" customHeight="1" x14ac:dyDescent="0.45">
      <c r="A12" s="52">
        <v>1.2</v>
      </c>
      <c r="B12" s="33" t="s">
        <v>63</v>
      </c>
      <c r="C12" s="11" t="s">
        <v>60</v>
      </c>
      <c r="D12" s="12">
        <f>F12+E12</f>
        <v>800000</v>
      </c>
      <c r="E12" s="13"/>
      <c r="F12" s="12">
        <v>800000</v>
      </c>
      <c r="G12" s="2">
        <f>J12+I12</f>
        <v>799978.89</v>
      </c>
      <c r="H12" s="14">
        <f>G12*100/D12</f>
        <v>99.997361249999997</v>
      </c>
      <c r="I12" s="2"/>
      <c r="J12" s="2">
        <f>24590+31500+53380+53380+55500+51980+116917+137340+34620+33540+125000+82231.89</f>
        <v>799978.89</v>
      </c>
      <c r="K12" s="2">
        <f>N12+M12</f>
        <v>0</v>
      </c>
      <c r="L12" s="2">
        <f>K12*100/D12</f>
        <v>0</v>
      </c>
      <c r="M12" s="2"/>
      <c r="N12" s="2">
        <f>28000+14000+21000+24000-31500-55500+25960+45000+54000+18000+50000+36240+19700+24120-51980+25720+15680-137340-20-60-125000-20</f>
        <v>0</v>
      </c>
      <c r="O12" s="2">
        <f>D12-G12-K12</f>
        <v>21.10999999998603</v>
      </c>
      <c r="P12" s="2">
        <f>O12*100/D12</f>
        <v>2.6387499999982536E-3</v>
      </c>
      <c r="Q12" s="2">
        <f>E12-I12-M12</f>
        <v>0</v>
      </c>
      <c r="R12" s="55">
        <f>F12-J12-N12</f>
        <v>21.10999999998603</v>
      </c>
    </row>
    <row r="13" spans="1:18" ht="18.95" customHeight="1" x14ac:dyDescent="0.45">
      <c r="A13" s="52"/>
      <c r="B13" s="33" t="s">
        <v>12</v>
      </c>
      <c r="C13" s="15"/>
      <c r="D13" s="16"/>
      <c r="E13" s="15"/>
      <c r="F13" s="16"/>
      <c r="G13" s="15"/>
      <c r="H13" s="15"/>
      <c r="I13" s="15"/>
      <c r="J13" s="65"/>
      <c r="K13" s="15"/>
      <c r="L13" s="19"/>
      <c r="M13" s="15"/>
      <c r="N13" s="15"/>
      <c r="O13" s="15"/>
      <c r="P13" s="15"/>
      <c r="Q13" s="15"/>
      <c r="R13" s="69"/>
    </row>
    <row r="14" spans="1:18" ht="18.95" customHeight="1" x14ac:dyDescent="0.45">
      <c r="A14" s="52"/>
      <c r="B14" s="33"/>
      <c r="C14" s="15"/>
      <c r="D14" s="16"/>
      <c r="E14" s="15"/>
      <c r="F14" s="16"/>
      <c r="G14" s="15"/>
      <c r="H14" s="15"/>
      <c r="I14" s="15"/>
      <c r="J14" s="65"/>
      <c r="K14" s="15"/>
      <c r="L14" s="19"/>
      <c r="M14" s="15"/>
      <c r="N14" s="15"/>
      <c r="O14" s="15"/>
      <c r="P14" s="15"/>
      <c r="Q14" s="15"/>
      <c r="R14" s="69"/>
    </row>
    <row r="15" spans="1:18" ht="18.95" customHeight="1" x14ac:dyDescent="0.45">
      <c r="A15" s="52"/>
      <c r="B15" s="36" t="s">
        <v>19</v>
      </c>
      <c r="C15" s="15"/>
      <c r="D15" s="16"/>
      <c r="E15" s="15"/>
      <c r="F15" s="16"/>
      <c r="G15" s="15"/>
      <c r="H15" s="15"/>
      <c r="I15" s="15"/>
      <c r="J15" s="65"/>
      <c r="K15" s="15"/>
      <c r="L15" s="19"/>
      <c r="M15" s="15"/>
      <c r="N15" s="15"/>
      <c r="O15" s="15"/>
      <c r="P15" s="15"/>
      <c r="Q15" s="15"/>
      <c r="R15" s="69"/>
    </row>
    <row r="16" spans="1:18" ht="18.95" customHeight="1" x14ac:dyDescent="0.45">
      <c r="A16" s="52">
        <v>1.3</v>
      </c>
      <c r="B16" s="33" t="s">
        <v>64</v>
      </c>
      <c r="C16" s="11" t="s">
        <v>65</v>
      </c>
      <c r="D16" s="12">
        <f>F16+E16</f>
        <v>1000000</v>
      </c>
      <c r="E16" s="27">
        <v>400000</v>
      </c>
      <c r="F16" s="12">
        <v>600000</v>
      </c>
      <c r="G16" s="2">
        <f>J16+I16</f>
        <v>996767.85</v>
      </c>
      <c r="H16" s="14">
        <f>G16*100/D16</f>
        <v>99.676784999999995</v>
      </c>
      <c r="I16" s="2">
        <f>98526+98527+96000+96000+10800</f>
        <v>399853</v>
      </c>
      <c r="J16" s="2">
        <f>39746.7+20948+88680+15877.21+51070+21632.4+11671.65+19895.9+19895.9+56794+57984+67506.3+16618+3280+52995.6+5000+14662+32657.19</f>
        <v>596914.85</v>
      </c>
      <c r="K16" s="2">
        <f>N16+M16</f>
        <v>0</v>
      </c>
      <c r="L16" s="2">
        <f>K16*100/D16</f>
        <v>0</v>
      </c>
      <c r="M16" s="2"/>
      <c r="N16" s="2">
        <f>16618-16618</f>
        <v>0</v>
      </c>
      <c r="O16" s="2">
        <f>D16-G16-K16</f>
        <v>3232.1500000000233</v>
      </c>
      <c r="P16" s="2">
        <f>O16*100/D16</f>
        <v>0.32321500000000231</v>
      </c>
      <c r="Q16" s="2">
        <f>E16-I16-M16</f>
        <v>147</v>
      </c>
      <c r="R16" s="55">
        <f>F16-J16-N16</f>
        <v>3085.1500000000233</v>
      </c>
    </row>
    <row r="17" spans="1:18" ht="18.95" customHeight="1" x14ac:dyDescent="0.45">
      <c r="A17" s="52"/>
      <c r="B17" s="33" t="s">
        <v>59</v>
      </c>
      <c r="C17" s="15"/>
      <c r="D17" s="16"/>
      <c r="E17" s="15"/>
      <c r="F17" s="16"/>
      <c r="G17" s="15"/>
      <c r="H17" s="15"/>
      <c r="I17" s="15"/>
      <c r="J17" s="2"/>
      <c r="K17" s="15"/>
      <c r="L17" s="15"/>
      <c r="M17" s="15"/>
      <c r="N17" s="15"/>
      <c r="O17" s="15"/>
      <c r="P17" s="15"/>
      <c r="Q17" s="15"/>
      <c r="R17" s="68"/>
    </row>
    <row r="18" spans="1:18" ht="18.95" customHeight="1" x14ac:dyDescent="0.45">
      <c r="A18" s="52"/>
      <c r="B18" s="33"/>
      <c r="C18" s="15"/>
      <c r="D18" s="16"/>
      <c r="E18" s="15"/>
      <c r="F18" s="16"/>
      <c r="G18" s="15"/>
      <c r="H18" s="15"/>
      <c r="I18" s="15"/>
      <c r="J18" s="2"/>
      <c r="K18" s="15"/>
      <c r="L18" s="15"/>
      <c r="M18" s="15"/>
      <c r="N18" s="15"/>
      <c r="O18" s="15"/>
      <c r="P18" s="15"/>
      <c r="Q18" s="15"/>
      <c r="R18" s="68"/>
    </row>
    <row r="19" spans="1:18" ht="18.95" customHeight="1" x14ac:dyDescent="0.45">
      <c r="A19" s="52"/>
      <c r="B19" s="36" t="s">
        <v>20</v>
      </c>
      <c r="C19" s="15"/>
      <c r="D19" s="16"/>
      <c r="E19" s="15"/>
      <c r="F19" s="16"/>
      <c r="G19" s="15"/>
      <c r="H19" s="15"/>
      <c r="I19" s="15"/>
      <c r="J19" s="2"/>
      <c r="K19" s="15"/>
      <c r="L19" s="15"/>
      <c r="M19" s="15"/>
      <c r="N19" s="15"/>
      <c r="O19" s="15"/>
      <c r="P19" s="15"/>
      <c r="Q19" s="15"/>
      <c r="R19" s="68"/>
    </row>
    <row r="20" spans="1:18" ht="18.95" customHeight="1" x14ac:dyDescent="0.45">
      <c r="A20" s="52">
        <v>1.4</v>
      </c>
      <c r="B20" s="33" t="s">
        <v>66</v>
      </c>
      <c r="C20" s="11" t="s">
        <v>65</v>
      </c>
      <c r="D20" s="12">
        <f>F20+E20</f>
        <v>770999</v>
      </c>
      <c r="E20" s="13"/>
      <c r="F20" s="12">
        <f>771000-1</f>
        <v>770999</v>
      </c>
      <c r="G20" s="2">
        <f>J20+I20</f>
        <v>770998.92</v>
      </c>
      <c r="H20" s="14">
        <f>G20*100/D20</f>
        <v>99.999989623851647</v>
      </c>
      <c r="I20" s="2"/>
      <c r="J20" s="2">
        <f>49180+69409+96481+52054+225314.26+3600+30802.31+111054.4+68467.95+9200+20687+10241+24508</f>
        <v>770998.92</v>
      </c>
      <c r="K20" s="2">
        <f>N20+M20</f>
        <v>0</v>
      </c>
      <c r="L20" s="2">
        <f>K20*100/D20</f>
        <v>0</v>
      </c>
      <c r="M20" s="2"/>
      <c r="N20" s="2">
        <f>57054-5000+13512.6+54955.35-52054-68467.95</f>
        <v>0</v>
      </c>
      <c r="O20" s="2">
        <f>D20-G20-K20</f>
        <v>7.9999999958090484E-2</v>
      </c>
      <c r="P20" s="2">
        <f>O20*100/D20</f>
        <v>1.0376148342357187E-5</v>
      </c>
      <c r="Q20" s="2">
        <f>E20-I20-M20</f>
        <v>0</v>
      </c>
      <c r="R20" s="55">
        <f>F20-J20-N20</f>
        <v>7.9999999958090484E-2</v>
      </c>
    </row>
    <row r="21" spans="1:18" ht="18.95" customHeight="1" x14ac:dyDescent="0.45">
      <c r="A21" s="52"/>
      <c r="B21" s="33" t="s">
        <v>86</v>
      </c>
      <c r="C21" s="15"/>
      <c r="D21" s="16"/>
      <c r="E21" s="15"/>
      <c r="F21" s="16"/>
      <c r="G21" s="15"/>
      <c r="H21" s="15"/>
      <c r="I21" s="15"/>
      <c r="J21" s="2"/>
      <c r="K21" s="15"/>
      <c r="L21" s="15"/>
      <c r="M21" s="15"/>
      <c r="N21" s="15"/>
      <c r="O21" s="15"/>
      <c r="P21" s="15"/>
      <c r="Q21" s="15"/>
      <c r="R21" s="68"/>
    </row>
    <row r="22" spans="1:18" ht="18.95" customHeight="1" x14ac:dyDescent="0.45">
      <c r="A22" s="52"/>
      <c r="B22" s="33"/>
      <c r="C22" s="15"/>
      <c r="D22" s="16"/>
      <c r="E22" s="15"/>
      <c r="F22" s="16"/>
      <c r="G22" s="15"/>
      <c r="H22" s="15"/>
      <c r="I22" s="15"/>
      <c r="J22" s="2"/>
      <c r="K22" s="15"/>
      <c r="L22" s="15"/>
      <c r="M22" s="15"/>
      <c r="N22" s="15"/>
      <c r="O22" s="15"/>
      <c r="P22" s="15"/>
      <c r="Q22" s="15"/>
      <c r="R22" s="68"/>
    </row>
    <row r="23" spans="1:18" ht="18.95" customHeight="1" x14ac:dyDescent="0.45">
      <c r="A23" s="52"/>
      <c r="B23" s="36" t="s">
        <v>21</v>
      </c>
      <c r="C23" s="15"/>
      <c r="D23" s="16"/>
      <c r="E23" s="15"/>
      <c r="F23" s="16"/>
      <c r="G23" s="15"/>
      <c r="H23" s="15"/>
      <c r="I23" s="15"/>
      <c r="J23" s="2"/>
      <c r="K23" s="15"/>
      <c r="L23" s="15"/>
      <c r="M23" s="15"/>
      <c r="N23" s="15"/>
      <c r="O23" s="15"/>
      <c r="P23" s="15"/>
      <c r="Q23" s="15"/>
      <c r="R23" s="68"/>
    </row>
    <row r="24" spans="1:18" ht="18.95" customHeight="1" x14ac:dyDescent="0.45">
      <c r="A24" s="70">
        <v>1.5</v>
      </c>
      <c r="B24" s="33" t="s">
        <v>67</v>
      </c>
      <c r="C24" s="11" t="s">
        <v>65</v>
      </c>
      <c r="D24" s="12">
        <f>F24+E24</f>
        <v>1917824</v>
      </c>
      <c r="E24" s="13"/>
      <c r="F24" s="12">
        <f>1918000-176</f>
        <v>1917824</v>
      </c>
      <c r="G24" s="2">
        <f>J24+I24</f>
        <v>1917823.55</v>
      </c>
      <c r="H24" s="14">
        <f>G24*100/D24</f>
        <v>99.999976535907365</v>
      </c>
      <c r="I24" s="2"/>
      <c r="J24" s="2">
        <f>100760+138818+108748+99271+2400+53286.59+99214.78+364081.3+192459.3+33450.58+99890+23000+450023+7700+84699+23350+11372+25300</f>
        <v>1917823.55</v>
      </c>
      <c r="K24" s="2">
        <f>N24+M24</f>
        <v>0</v>
      </c>
      <c r="L24" s="2">
        <f>K24*100/D24</f>
        <v>0</v>
      </c>
      <c r="M24" s="2"/>
      <c r="N24" s="2">
        <f>108828-80+9010.8+160918+40554-108748-18023.5-192459.3</f>
        <v>0</v>
      </c>
      <c r="O24" s="2">
        <f>D24-G24-K24</f>
        <v>0.44999999995343387</v>
      </c>
      <c r="P24" s="2">
        <f>O24*100/D24</f>
        <v>2.3464092635895361E-5</v>
      </c>
      <c r="Q24" s="2">
        <f>E24-I24-M24</f>
        <v>0</v>
      </c>
      <c r="R24" s="55">
        <f>F24-J24-N24</f>
        <v>0.44999999995343387</v>
      </c>
    </row>
    <row r="25" spans="1:18" ht="18.95" customHeight="1" x14ac:dyDescent="0.45">
      <c r="A25" s="52"/>
      <c r="B25" s="33" t="s">
        <v>87</v>
      </c>
      <c r="C25" s="15"/>
      <c r="D25" s="16"/>
      <c r="E25" s="15"/>
      <c r="F25" s="16"/>
      <c r="G25" s="15"/>
      <c r="H25" s="15"/>
      <c r="I25" s="15"/>
      <c r="J25" s="2"/>
      <c r="K25" s="15"/>
      <c r="L25" s="15"/>
      <c r="M25" s="15"/>
      <c r="N25" s="15"/>
      <c r="O25" s="15"/>
      <c r="P25" s="15"/>
      <c r="Q25" s="15"/>
      <c r="R25" s="68"/>
    </row>
    <row r="26" spans="1:18" ht="18.95" customHeight="1" x14ac:dyDescent="0.45">
      <c r="A26" s="52"/>
      <c r="B26" s="33"/>
      <c r="C26" s="15"/>
      <c r="D26" s="16"/>
      <c r="E26" s="15"/>
      <c r="F26" s="16"/>
      <c r="G26" s="15"/>
      <c r="H26" s="15"/>
      <c r="I26" s="15"/>
      <c r="J26" s="2"/>
      <c r="K26" s="15"/>
      <c r="L26" s="15"/>
      <c r="M26" s="15"/>
      <c r="N26" s="15"/>
      <c r="O26" s="15"/>
      <c r="P26" s="15"/>
      <c r="Q26" s="15"/>
      <c r="R26" s="68"/>
    </row>
    <row r="27" spans="1:18" ht="18.95" customHeight="1" x14ac:dyDescent="0.45">
      <c r="A27" s="52"/>
      <c r="B27" s="36" t="s">
        <v>22</v>
      </c>
      <c r="C27" s="15"/>
      <c r="D27" s="16"/>
      <c r="E27" s="15"/>
      <c r="F27" s="16"/>
      <c r="G27" s="15"/>
      <c r="H27" s="15"/>
      <c r="I27" s="15"/>
      <c r="J27" s="2"/>
      <c r="K27" s="15"/>
      <c r="L27" s="15"/>
      <c r="M27" s="15"/>
      <c r="N27" s="15"/>
      <c r="O27" s="15"/>
      <c r="P27" s="15"/>
      <c r="Q27" s="15"/>
      <c r="R27" s="68"/>
    </row>
    <row r="28" spans="1:18" ht="18.95" customHeight="1" x14ac:dyDescent="0.45">
      <c r="A28" s="70">
        <v>1.6</v>
      </c>
      <c r="B28" s="33" t="s">
        <v>68</v>
      </c>
      <c r="C28" s="11" t="s">
        <v>65</v>
      </c>
      <c r="D28" s="12">
        <f>F28+E28</f>
        <v>621083</v>
      </c>
      <c r="E28" s="13"/>
      <c r="F28" s="12">
        <f>621100-17</f>
        <v>621083</v>
      </c>
      <c r="G28" s="2">
        <f>J28+I28</f>
        <v>621082.66</v>
      </c>
      <c r="H28" s="14">
        <f>G28*100/D28</f>
        <v>99.999945256914131</v>
      </c>
      <c r="I28" s="2"/>
      <c r="J28" s="2">
        <f>31020+119240.1+33962.18+114508.35+202062.03+11000+88840+20450</f>
        <v>621082.66</v>
      </c>
      <c r="K28" s="2">
        <f>N28+M28</f>
        <v>0</v>
      </c>
      <c r="L28" s="2">
        <f>K28*100/D28</f>
        <v>0</v>
      </c>
      <c r="M28" s="2"/>
      <c r="N28" s="2"/>
      <c r="O28" s="2">
        <f>D28-G28-K28</f>
        <v>0.33999999996740371</v>
      </c>
      <c r="P28" s="2">
        <f>O28*100/D28</f>
        <v>5.4743085862502066E-5</v>
      </c>
      <c r="Q28" s="2">
        <f>E28-I28-M28</f>
        <v>0</v>
      </c>
      <c r="R28" s="55">
        <f>F28-J28-N28</f>
        <v>0.33999999996740371</v>
      </c>
    </row>
    <row r="29" spans="1:18" ht="18.95" customHeight="1" x14ac:dyDescent="0.45">
      <c r="A29" s="52"/>
      <c r="B29" s="33" t="s">
        <v>69</v>
      </c>
      <c r="C29" s="15"/>
      <c r="D29" s="16"/>
      <c r="E29" s="15"/>
      <c r="F29" s="16"/>
      <c r="G29" s="15"/>
      <c r="H29" s="15"/>
      <c r="I29" s="15"/>
      <c r="J29" s="2"/>
      <c r="K29" s="15"/>
      <c r="L29" s="15"/>
      <c r="M29" s="15"/>
      <c r="N29" s="15"/>
      <c r="O29" s="15"/>
      <c r="P29" s="15"/>
      <c r="Q29" s="15"/>
      <c r="R29" s="68"/>
    </row>
    <row r="30" spans="1:18" ht="18.95" customHeight="1" x14ac:dyDescent="0.45">
      <c r="A30" s="52"/>
      <c r="B30" s="33"/>
      <c r="C30" s="15"/>
      <c r="D30" s="16"/>
      <c r="E30" s="15"/>
      <c r="F30" s="16"/>
      <c r="G30" s="15"/>
      <c r="H30" s="15"/>
      <c r="I30" s="15"/>
      <c r="J30" s="2"/>
      <c r="K30" s="15"/>
      <c r="L30" s="15"/>
      <c r="M30" s="15"/>
      <c r="N30" s="15"/>
      <c r="O30" s="15"/>
      <c r="P30" s="15"/>
      <c r="Q30" s="15"/>
      <c r="R30" s="68"/>
    </row>
    <row r="31" spans="1:18" ht="18.95" customHeight="1" x14ac:dyDescent="0.45">
      <c r="A31" s="52"/>
      <c r="B31" s="36" t="s">
        <v>23</v>
      </c>
      <c r="C31" s="15"/>
      <c r="D31" s="16"/>
      <c r="E31" s="15"/>
      <c r="F31" s="16"/>
      <c r="G31" s="15"/>
      <c r="H31" s="15"/>
      <c r="I31" s="15"/>
      <c r="J31" s="2"/>
      <c r="K31" s="15"/>
      <c r="L31" s="15"/>
      <c r="M31" s="15"/>
      <c r="N31" s="15"/>
      <c r="O31" s="15"/>
      <c r="P31" s="15"/>
      <c r="Q31" s="15"/>
      <c r="R31" s="68"/>
    </row>
    <row r="32" spans="1:18" ht="18.95" customHeight="1" x14ac:dyDescent="0.45">
      <c r="A32" s="70">
        <v>1.7</v>
      </c>
      <c r="B32" s="33" t="s">
        <v>70</v>
      </c>
      <c r="C32" s="11" t="s">
        <v>65</v>
      </c>
      <c r="D32" s="12">
        <f>F32+E32</f>
        <v>382070</v>
      </c>
      <c r="E32" s="13"/>
      <c r="F32" s="12">
        <f>382100-30</f>
        <v>382070</v>
      </c>
      <c r="G32" s="2">
        <f>J32+I32</f>
        <v>382069.31</v>
      </c>
      <c r="H32" s="14">
        <f>G32*100/D32</f>
        <v>99.99981940482111</v>
      </c>
      <c r="I32" s="2"/>
      <c r="J32" s="2">
        <f>175434.08+5121+2080+72868.95+39997+2020+5024+3241.03+70976.25+5307</f>
        <v>382069.31</v>
      </c>
      <c r="K32" s="2">
        <f>N32+M32</f>
        <v>0</v>
      </c>
      <c r="L32" s="2">
        <f>K32*100/D32</f>
        <v>0</v>
      </c>
      <c r="M32" s="2"/>
      <c r="N32" s="2"/>
      <c r="O32" s="2">
        <f>D32-G32-K32</f>
        <v>0.69000000000232831</v>
      </c>
      <c r="P32" s="2">
        <f>O32*100/D32</f>
        <v>1.8059517889452935E-4</v>
      </c>
      <c r="Q32" s="2">
        <f>E32-I32-M32</f>
        <v>0</v>
      </c>
      <c r="R32" s="55">
        <f>F32-J32-N32</f>
        <v>0.69000000000232831</v>
      </c>
    </row>
    <row r="33" spans="1:19" ht="18.95" customHeight="1" x14ac:dyDescent="0.45">
      <c r="A33" s="52"/>
      <c r="B33" s="33" t="s">
        <v>71</v>
      </c>
      <c r="C33" s="15"/>
      <c r="D33" s="16"/>
      <c r="E33" s="15"/>
      <c r="F33" s="16"/>
      <c r="G33" s="15"/>
      <c r="H33" s="15"/>
      <c r="I33" s="15"/>
      <c r="J33" s="2"/>
      <c r="K33" s="15"/>
      <c r="L33" s="15"/>
      <c r="M33" s="15"/>
      <c r="N33" s="15"/>
      <c r="O33" s="15"/>
      <c r="P33" s="15"/>
      <c r="Q33" s="15"/>
      <c r="R33" s="68"/>
    </row>
    <row r="34" spans="1:19" ht="18.95" customHeight="1" x14ac:dyDescent="0.45">
      <c r="A34" s="52"/>
      <c r="B34" s="33"/>
      <c r="C34" s="15"/>
      <c r="D34" s="16"/>
      <c r="E34" s="15"/>
      <c r="F34" s="16"/>
      <c r="G34" s="15"/>
      <c r="H34" s="15"/>
      <c r="I34" s="15"/>
      <c r="J34" s="2"/>
      <c r="K34" s="15"/>
      <c r="L34" s="15"/>
      <c r="M34" s="15"/>
      <c r="N34" s="15"/>
      <c r="O34" s="15"/>
      <c r="P34" s="15"/>
      <c r="Q34" s="15"/>
      <c r="R34" s="68"/>
    </row>
    <row r="35" spans="1:19" ht="18.95" customHeight="1" x14ac:dyDescent="0.45">
      <c r="A35" s="52"/>
      <c r="B35" s="36" t="s">
        <v>24</v>
      </c>
      <c r="C35" s="15"/>
      <c r="D35" s="16"/>
      <c r="E35" s="15"/>
      <c r="F35" s="16"/>
      <c r="G35" s="15"/>
      <c r="H35" s="15"/>
      <c r="I35" s="15"/>
      <c r="J35" s="2"/>
      <c r="K35" s="15"/>
      <c r="L35" s="15"/>
      <c r="M35" s="15"/>
      <c r="N35" s="15"/>
      <c r="O35" s="15"/>
      <c r="P35" s="15"/>
      <c r="Q35" s="15"/>
      <c r="R35" s="68"/>
    </row>
    <row r="36" spans="1:19" ht="18.95" customHeight="1" x14ac:dyDescent="0.45">
      <c r="A36" s="70">
        <v>1.8</v>
      </c>
      <c r="B36" s="33" t="s">
        <v>72</v>
      </c>
      <c r="C36" s="11" t="s">
        <v>65</v>
      </c>
      <c r="D36" s="12">
        <f>F36+E36</f>
        <v>955618</v>
      </c>
      <c r="E36" s="13"/>
      <c r="F36" s="12">
        <f>956000-382</f>
        <v>955618</v>
      </c>
      <c r="G36" s="2">
        <f>J36+I36</f>
        <v>955617.58000000007</v>
      </c>
      <c r="H36" s="14">
        <f>G36*100/D36</f>
        <v>99.999956049383755</v>
      </c>
      <c r="I36" s="2"/>
      <c r="J36" s="2">
        <f>34699.5+34792.6+30782.18+64690+99745+63730+138840+40325.2+2702.7+76349.9+38390.5+288130+42440</f>
        <v>955617.58000000007</v>
      </c>
      <c r="K36" s="2">
        <f>N36+M36</f>
        <v>8.7325702224916313E-12</v>
      </c>
      <c r="L36" s="2">
        <f>K36*100/D36</f>
        <v>9.1381391125864438E-16</v>
      </c>
      <c r="M36" s="2"/>
      <c r="N36" s="2">
        <f>127920+71456.7+16200-34792.6-105040+3002.7+3000-40325.2-2702.7-300-38390.5-28.4</f>
        <v>8.7325702224916313E-12</v>
      </c>
      <c r="O36" s="2">
        <f>D36-G36-K36</f>
        <v>0.41999999991676162</v>
      </c>
      <c r="P36" s="2">
        <f>O36*100/D36</f>
        <v>4.3950616241715999E-5</v>
      </c>
      <c r="Q36" s="2">
        <f>E36-I36-M36</f>
        <v>0</v>
      </c>
      <c r="R36" s="55">
        <f>F36-J36-N36</f>
        <v>0.41999999991676162</v>
      </c>
    </row>
    <row r="37" spans="1:19" ht="18.95" customHeight="1" x14ac:dyDescent="0.45">
      <c r="A37" s="52"/>
      <c r="B37" s="33" t="s">
        <v>88</v>
      </c>
      <c r="C37" s="15"/>
      <c r="D37" s="16"/>
      <c r="E37" s="15"/>
      <c r="F37" s="16"/>
      <c r="G37" s="15"/>
      <c r="H37" s="15"/>
      <c r="I37" s="15"/>
      <c r="J37" s="2"/>
      <c r="K37" s="15"/>
      <c r="L37" s="15"/>
      <c r="M37" s="15"/>
      <c r="N37" s="15"/>
      <c r="O37" s="15"/>
      <c r="P37" s="15"/>
      <c r="Q37" s="15"/>
      <c r="R37" s="68"/>
    </row>
    <row r="38" spans="1:19" ht="18.95" customHeight="1" x14ac:dyDescent="0.45">
      <c r="A38" s="52"/>
      <c r="B38" s="33"/>
      <c r="C38" s="15"/>
      <c r="D38" s="16"/>
      <c r="E38" s="15"/>
      <c r="F38" s="16"/>
      <c r="G38" s="15"/>
      <c r="H38" s="15"/>
      <c r="I38" s="15"/>
      <c r="J38" s="2"/>
      <c r="K38" s="15"/>
      <c r="L38" s="15"/>
      <c r="M38" s="15"/>
      <c r="N38" s="15"/>
      <c r="O38" s="15"/>
      <c r="P38" s="15"/>
      <c r="Q38" s="15"/>
      <c r="R38" s="68"/>
    </row>
    <row r="39" spans="1:19" ht="18.95" customHeight="1" x14ac:dyDescent="0.45">
      <c r="A39" s="52"/>
      <c r="B39" s="36" t="s">
        <v>25</v>
      </c>
      <c r="C39" s="15"/>
      <c r="D39" s="16"/>
      <c r="E39" s="15"/>
      <c r="F39" s="16"/>
      <c r="G39" s="15"/>
      <c r="H39" s="15"/>
      <c r="I39" s="15"/>
      <c r="J39" s="2"/>
      <c r="K39" s="15"/>
      <c r="L39" s="15"/>
      <c r="M39" s="15"/>
      <c r="N39" s="15"/>
      <c r="O39" s="15"/>
      <c r="P39" s="15"/>
      <c r="Q39" s="15"/>
      <c r="R39" s="68"/>
      <c r="S39" s="1">
        <v>2</v>
      </c>
    </row>
    <row r="40" spans="1:19" ht="18.95" customHeight="1" x14ac:dyDescent="0.45">
      <c r="A40" s="70">
        <v>1.9</v>
      </c>
      <c r="B40" s="33" t="s">
        <v>11</v>
      </c>
      <c r="C40" s="11" t="s">
        <v>65</v>
      </c>
      <c r="D40" s="12">
        <f>F40+E40</f>
        <v>477553</v>
      </c>
      <c r="E40" s="13"/>
      <c r="F40" s="12">
        <f>478000-447</f>
        <v>477553</v>
      </c>
      <c r="G40" s="2">
        <f>J40+I40</f>
        <v>477552.5</v>
      </c>
      <c r="H40" s="14">
        <f>G40*100/D40</f>
        <v>99.999895299579308</v>
      </c>
      <c r="I40" s="2"/>
      <c r="J40" s="2">
        <f>3520+5176+35550+35900+24000+30000+46828+30000+48554+34704.5+24000+157000+2320</f>
        <v>477552.5</v>
      </c>
      <c r="K40" s="2">
        <f>N40+M40</f>
        <v>0</v>
      </c>
      <c r="L40" s="2">
        <f>K40*100/D40</f>
        <v>0</v>
      </c>
      <c r="M40" s="2"/>
      <c r="N40" s="2">
        <f>19680+48000-3520-16160-24000-24000</f>
        <v>0</v>
      </c>
      <c r="O40" s="2">
        <f>D40-G40-K40</f>
        <v>0.5</v>
      </c>
      <c r="P40" s="2">
        <f>O40*100/D40</f>
        <v>1.0470042068629031E-4</v>
      </c>
      <c r="Q40" s="2">
        <f>E40-I40-M40</f>
        <v>0</v>
      </c>
      <c r="R40" s="55">
        <f>F40-J40-N40</f>
        <v>0.5</v>
      </c>
    </row>
    <row r="41" spans="1:19" ht="18.95" customHeight="1" x14ac:dyDescent="0.45">
      <c r="A41" s="52"/>
      <c r="B41" s="33" t="s">
        <v>89</v>
      </c>
      <c r="C41" s="15"/>
      <c r="D41" s="17"/>
      <c r="E41" s="15"/>
      <c r="F41" s="16"/>
      <c r="G41" s="15"/>
      <c r="H41" s="15"/>
      <c r="I41" s="15"/>
      <c r="J41" s="2"/>
      <c r="K41" s="15"/>
      <c r="L41" s="15"/>
      <c r="M41" s="15"/>
      <c r="N41" s="15"/>
      <c r="O41" s="15"/>
      <c r="P41" s="15"/>
      <c r="Q41" s="15"/>
      <c r="R41" s="68"/>
    </row>
    <row r="42" spans="1:19" ht="18.95" customHeight="1" x14ac:dyDescent="0.45">
      <c r="A42" s="52"/>
      <c r="B42" s="33"/>
      <c r="C42" s="15"/>
      <c r="D42" s="16"/>
      <c r="E42" s="15"/>
      <c r="F42" s="16"/>
      <c r="G42" s="15"/>
      <c r="H42" s="15"/>
      <c r="I42" s="15"/>
      <c r="J42" s="2"/>
      <c r="K42" s="15"/>
      <c r="L42" s="15"/>
      <c r="M42" s="15"/>
      <c r="N42" s="15"/>
      <c r="O42" s="15"/>
      <c r="P42" s="15"/>
      <c r="Q42" s="15"/>
      <c r="R42" s="68"/>
    </row>
    <row r="43" spans="1:19" ht="18.95" customHeight="1" x14ac:dyDescent="0.45">
      <c r="A43" s="52"/>
      <c r="B43" s="36" t="s">
        <v>40</v>
      </c>
      <c r="C43" s="15"/>
      <c r="D43" s="16"/>
      <c r="E43" s="15"/>
      <c r="F43" s="16"/>
      <c r="G43" s="15"/>
      <c r="H43" s="15"/>
      <c r="I43" s="15"/>
      <c r="J43" s="2"/>
      <c r="K43" s="15"/>
      <c r="L43" s="15"/>
      <c r="M43" s="15"/>
      <c r="N43" s="15"/>
      <c r="O43" s="15"/>
      <c r="P43" s="15"/>
      <c r="Q43" s="15"/>
      <c r="R43" s="68"/>
    </row>
    <row r="44" spans="1:19" ht="18.95" customHeight="1" x14ac:dyDescent="0.45">
      <c r="A44" s="71">
        <v>1.1000000000000001</v>
      </c>
      <c r="B44" s="33" t="s">
        <v>75</v>
      </c>
      <c r="C44" s="11" t="s">
        <v>74</v>
      </c>
      <c r="D44" s="12">
        <f>F44+E44</f>
        <v>3444000</v>
      </c>
      <c r="E44" s="13"/>
      <c r="F44" s="12">
        <v>3444000</v>
      </c>
      <c r="G44" s="2">
        <f>J44+I44</f>
        <v>3376374.75</v>
      </c>
      <c r="H44" s="14">
        <f>G44*100/D44</f>
        <v>98.036432926829264</v>
      </c>
      <c r="I44" s="2"/>
      <c r="J44" s="2">
        <f>34068.6+16725+97673.61+17980+94593+23087+17334+224699.25+62468.1+43328.6+107510+65000+3360.87+747.93+5865.74+126828+90354.2+186149.25+65000+126828+75770.7+119250+119636+59625+210860.25+5139+76759.8+98000+221463+58900+70860.75+88288.6+48995+18811+35018.95+90844.5+18640+172355.35+71520+80129.3+149613.6+2795+26497.8+47000</f>
        <v>3376374.75</v>
      </c>
      <c r="K44" s="2">
        <f>N44+M44</f>
        <v>11999.999999999854</v>
      </c>
      <c r="L44" s="2">
        <f>K44*100/D44</f>
        <v>0.34843205574912472</v>
      </c>
      <c r="M44" s="2"/>
      <c r="N44" s="2">
        <f>237510+23087+4620+42814-23087+365024.25+4620-43328.6+9000-4105.4+76734.2-107510-65000+3780+72410.7-90354.2-186149.25-65000+9000+60662.5-75770.7-119250+9000-420-59625-76759.8+83385+8000-1902.7+11880+20000+8000+87499.8-88288.6-3003.6-92.8+18820+6000+11880+23760+24000+40000+40600-71520-51260.7+18000+21000-149613.6-47000-45.5</f>
        <v>11999.999999999854</v>
      </c>
      <c r="O44" s="2">
        <f>D44-G44-K44</f>
        <v>55625.250000000146</v>
      </c>
      <c r="P44" s="2">
        <f>O44*100/D44</f>
        <v>1.615135017421607</v>
      </c>
      <c r="Q44" s="2">
        <f>E44-I44-M44</f>
        <v>0</v>
      </c>
      <c r="R44" s="55">
        <f>F44-J44-N44</f>
        <v>55625.250000000146</v>
      </c>
    </row>
    <row r="45" spans="1:19" ht="18.95" customHeight="1" x14ac:dyDescent="0.45">
      <c r="A45" s="52"/>
      <c r="B45" s="33" t="s">
        <v>76</v>
      </c>
      <c r="C45" s="15"/>
      <c r="D45" s="16"/>
      <c r="E45" s="15"/>
      <c r="F45" s="16"/>
      <c r="G45" s="15"/>
      <c r="H45" s="15"/>
      <c r="I45" s="15"/>
      <c r="J45" s="2"/>
      <c r="K45" s="15"/>
      <c r="L45" s="15"/>
      <c r="M45" s="15"/>
      <c r="N45" s="15"/>
      <c r="O45" s="15"/>
      <c r="P45" s="15"/>
      <c r="Q45" s="15"/>
      <c r="R45" s="68"/>
    </row>
    <row r="46" spans="1:19" ht="18.95" customHeight="1" x14ac:dyDescent="0.45">
      <c r="A46" s="52"/>
      <c r="B46" s="33" t="s">
        <v>73</v>
      </c>
      <c r="C46" s="15"/>
      <c r="D46" s="16"/>
      <c r="E46" s="15"/>
      <c r="F46" s="16"/>
      <c r="G46" s="15"/>
      <c r="H46" s="15"/>
      <c r="I46" s="15"/>
      <c r="J46" s="2"/>
      <c r="K46" s="15"/>
      <c r="L46" s="15"/>
      <c r="M46" s="15"/>
      <c r="N46" s="15"/>
      <c r="O46" s="15"/>
      <c r="P46" s="15"/>
      <c r="Q46" s="15"/>
      <c r="R46" s="68"/>
    </row>
    <row r="47" spans="1:19" ht="18.95" customHeight="1" x14ac:dyDescent="0.45">
      <c r="A47" s="52"/>
      <c r="B47" s="33"/>
      <c r="C47" s="15"/>
      <c r="D47" s="16"/>
      <c r="E47" s="15"/>
      <c r="F47" s="16"/>
      <c r="G47" s="15"/>
      <c r="H47" s="15"/>
      <c r="I47" s="15"/>
      <c r="J47" s="2"/>
      <c r="K47" s="15"/>
      <c r="L47" s="15"/>
      <c r="M47" s="15"/>
      <c r="N47" s="15"/>
      <c r="O47" s="15"/>
      <c r="P47" s="15"/>
      <c r="Q47" s="15"/>
      <c r="R47" s="68"/>
    </row>
    <row r="48" spans="1:19" ht="18.95" customHeight="1" x14ac:dyDescent="0.45">
      <c r="A48" s="52"/>
      <c r="B48" s="36" t="s">
        <v>44</v>
      </c>
      <c r="C48" s="15"/>
      <c r="D48" s="16"/>
      <c r="E48" s="15"/>
      <c r="F48" s="16"/>
      <c r="G48" s="15"/>
      <c r="H48" s="15"/>
      <c r="I48" s="15"/>
      <c r="J48" s="2"/>
      <c r="K48" s="15"/>
      <c r="L48" s="15"/>
      <c r="M48" s="15"/>
      <c r="N48" s="15"/>
      <c r="O48" s="15"/>
      <c r="P48" s="15"/>
      <c r="Q48" s="15"/>
      <c r="R48" s="68"/>
    </row>
    <row r="49" spans="1:18" ht="18.95" customHeight="1" x14ac:dyDescent="0.45">
      <c r="A49" s="71">
        <v>1.1100000000000001</v>
      </c>
      <c r="B49" s="33" t="s">
        <v>77</v>
      </c>
      <c r="C49" s="11" t="s">
        <v>74</v>
      </c>
      <c r="D49" s="12">
        <f>F49+E49</f>
        <v>3129000</v>
      </c>
      <c r="E49" s="13"/>
      <c r="F49" s="12">
        <v>3129000</v>
      </c>
      <c r="G49" s="2">
        <f>J49+I49</f>
        <v>3128839.6500000004</v>
      </c>
      <c r="H49" s="14">
        <f>G49*100/D49</f>
        <v>99.994875359539805</v>
      </c>
      <c r="I49" s="2"/>
      <c r="J49" s="2">
        <f>3550+41013.5+134767.3+14654.4+44620+53316.05+843033+18000+96615+25948.8+53119+33540+333725+182961+24025.2+99420+170343+33025.2+81570+62400+32380+191188.7+49970+12250+16500+23023.4+9600+75708+99550+20790+9725+99660+5074+90350+22712.4+8310+4200+8201.7</f>
        <v>3128839.6500000004</v>
      </c>
      <c r="K49" s="2">
        <f>N49+M49</f>
        <v>0</v>
      </c>
      <c r="L49" s="2">
        <f>K49*100/D49</f>
        <v>0</v>
      </c>
      <c r="M49" s="2"/>
      <c r="N49" s="2">
        <f>11760+28843.2-14654.4-25948.8+72075.6+9000-24025.2-33025.2-23023.4+20790-1001.8-20790</f>
        <v>0</v>
      </c>
      <c r="O49" s="2">
        <f>D49-G49-K49</f>
        <v>160.34999999962747</v>
      </c>
      <c r="P49" s="2">
        <f>O49*100/D49</f>
        <v>5.1246404601990245E-3</v>
      </c>
      <c r="Q49" s="2">
        <f>E49-I49-M49</f>
        <v>0</v>
      </c>
      <c r="R49" s="55">
        <f>F49-J49-N49</f>
        <v>160.34999999962747</v>
      </c>
    </row>
    <row r="50" spans="1:18" ht="18.95" customHeight="1" x14ac:dyDescent="0.45">
      <c r="A50" s="52"/>
      <c r="B50" s="33" t="s">
        <v>90</v>
      </c>
      <c r="C50" s="15"/>
      <c r="D50" s="16"/>
      <c r="E50" s="15"/>
      <c r="F50" s="16"/>
      <c r="G50" s="15"/>
      <c r="H50" s="15"/>
      <c r="I50" s="15"/>
      <c r="J50" s="2"/>
      <c r="K50" s="15"/>
      <c r="L50" s="15"/>
      <c r="M50" s="15"/>
      <c r="N50" s="15"/>
      <c r="O50" s="15"/>
      <c r="P50" s="15"/>
      <c r="Q50" s="15"/>
      <c r="R50" s="68"/>
    </row>
    <row r="51" spans="1:18" ht="18.95" customHeight="1" x14ac:dyDescent="0.45">
      <c r="A51" s="52"/>
      <c r="B51" s="33"/>
      <c r="C51" s="15"/>
      <c r="D51" s="16"/>
      <c r="E51" s="15"/>
      <c r="F51" s="16"/>
      <c r="G51" s="15"/>
      <c r="H51" s="15"/>
      <c r="I51" s="15"/>
      <c r="J51" s="2"/>
      <c r="K51" s="15"/>
      <c r="L51" s="15"/>
      <c r="M51" s="15"/>
      <c r="N51" s="15"/>
      <c r="O51" s="15"/>
      <c r="P51" s="15"/>
      <c r="Q51" s="15"/>
      <c r="R51" s="68"/>
    </row>
    <row r="52" spans="1:18" ht="18.95" customHeight="1" x14ac:dyDescent="0.45">
      <c r="A52" s="52"/>
      <c r="B52" s="36" t="s">
        <v>41</v>
      </c>
      <c r="C52" s="15"/>
      <c r="D52" s="16"/>
      <c r="E52" s="15"/>
      <c r="F52" s="16"/>
      <c r="G52" s="15"/>
      <c r="H52" s="15"/>
      <c r="I52" s="15"/>
      <c r="J52" s="2"/>
      <c r="K52" s="15"/>
      <c r="L52" s="15"/>
      <c r="M52" s="15"/>
      <c r="N52" s="15"/>
      <c r="O52" s="15"/>
      <c r="P52" s="15"/>
      <c r="Q52" s="15"/>
      <c r="R52" s="68"/>
    </row>
    <row r="53" spans="1:18" ht="18.95" customHeight="1" x14ac:dyDescent="0.45">
      <c r="A53" s="52">
        <v>1.1200000000000001</v>
      </c>
      <c r="B53" s="33" t="s">
        <v>78</v>
      </c>
      <c r="C53" s="11" t="s">
        <v>96</v>
      </c>
      <c r="D53" s="12">
        <f>F53+E53</f>
        <v>2256487</v>
      </c>
      <c r="E53" s="13">
        <v>607287</v>
      </c>
      <c r="F53" s="12">
        <v>1649200</v>
      </c>
      <c r="G53" s="2">
        <f>J53+I53</f>
        <v>2211767.2399999998</v>
      </c>
      <c r="H53" s="14">
        <f>G53*100/D53</f>
        <v>98.018168950231029</v>
      </c>
      <c r="I53" s="2">
        <v>607286.43000000005</v>
      </c>
      <c r="J53" s="2">
        <f>98960+71025+236604.6+9000+29260+33900+9779.8+69990+41220+356749.58+9996+193072.5+39880+79955+113261.55+27840+32580+6957+4450.4+3415+8000.9+32940+4400.4+67359.18+7652.6+4513+7305.3+4413</f>
        <v>1604480.8099999998</v>
      </c>
      <c r="K53" s="2">
        <f>N53+M53</f>
        <v>27951.199999999997</v>
      </c>
      <c r="L53" s="2">
        <f>K53*100/D53</f>
        <v>1.2387042336162359</v>
      </c>
      <c r="M53" s="2"/>
      <c r="N53" s="2">
        <f>60140+9000-9000-29260+9000+22240-39880+5600-27840+26978-4450.4-4400.4-4513-4413+18750</f>
        <v>27951.199999999997</v>
      </c>
      <c r="O53" s="2">
        <f>D53-G53-K53</f>
        <v>16768.560000000245</v>
      </c>
      <c r="P53" s="2">
        <f>O53*100/D53</f>
        <v>0.74312681615272969</v>
      </c>
      <c r="Q53" s="2">
        <f>E53-I53-M53</f>
        <v>0.56999999994877726</v>
      </c>
      <c r="R53" s="55">
        <f>F53-J53-N53</f>
        <v>16767.99000000018</v>
      </c>
    </row>
    <row r="54" spans="1:18" ht="18.95" customHeight="1" x14ac:dyDescent="0.45">
      <c r="A54" s="52"/>
      <c r="B54" s="33" t="s">
        <v>91</v>
      </c>
      <c r="C54" s="15"/>
      <c r="D54" s="16"/>
      <c r="E54" s="15"/>
      <c r="F54" s="16"/>
      <c r="G54" s="15"/>
      <c r="H54" s="15"/>
      <c r="I54" s="15"/>
      <c r="J54" s="2"/>
      <c r="K54" s="15"/>
      <c r="L54" s="15"/>
      <c r="M54" s="15"/>
      <c r="N54" s="15"/>
      <c r="O54" s="15"/>
      <c r="P54" s="15"/>
      <c r="Q54" s="15"/>
      <c r="R54" s="68"/>
    </row>
    <row r="55" spans="1:18" ht="18.95" customHeight="1" x14ac:dyDescent="0.45">
      <c r="A55" s="52"/>
      <c r="B55" s="33"/>
      <c r="C55" s="15"/>
      <c r="D55" s="16"/>
      <c r="E55" s="15"/>
      <c r="F55" s="16"/>
      <c r="G55" s="15"/>
      <c r="H55" s="15"/>
      <c r="I55" s="15"/>
      <c r="J55" s="2"/>
      <c r="K55" s="15"/>
      <c r="L55" s="15"/>
      <c r="M55" s="15"/>
      <c r="N55" s="15"/>
      <c r="O55" s="15"/>
      <c r="P55" s="15"/>
      <c r="Q55" s="15"/>
      <c r="R55" s="68"/>
    </row>
    <row r="56" spans="1:18" ht="18.95" customHeight="1" thickBot="1" x14ac:dyDescent="0.5">
      <c r="A56" s="83" t="s">
        <v>14</v>
      </c>
      <c r="B56" s="84"/>
      <c r="C56" s="84"/>
      <c r="D56" s="57">
        <f>F56+E56</f>
        <v>20197834</v>
      </c>
      <c r="E56" s="58">
        <f>E8+E12+E16+E20+E24+E28+E32+E36+E40+E44+E49+E53</f>
        <v>1007287</v>
      </c>
      <c r="F56" s="57">
        <f>F8+F12+F16+F20+F24+F28+F32+F36+F40+F44+F49+F53</f>
        <v>19190547</v>
      </c>
      <c r="G56" s="59">
        <f>J56+I56</f>
        <v>18841896.579999998</v>
      </c>
      <c r="H56" s="60">
        <f>G56*100/D56</f>
        <v>93.286718664981592</v>
      </c>
      <c r="I56" s="59">
        <f>I8+I12+I16+I20+I24+I28+I32+I36+I40+I44+I49+I53</f>
        <v>1007139.43</v>
      </c>
      <c r="J56" s="60">
        <f>J8+J12+J16+J20+J24+J28+J32+J36+J40+J44+J49+J53</f>
        <v>17834757.149999999</v>
      </c>
      <c r="K56" s="59">
        <f>N56+M56</f>
        <v>528532.59999999986</v>
      </c>
      <c r="L56" s="60">
        <f>K56*100/D56</f>
        <v>2.6167786110134377</v>
      </c>
      <c r="M56" s="59">
        <f>M8+M12+M16+M20+M24+M28+M32+M36+M40+M44+M49+M53</f>
        <v>0</v>
      </c>
      <c r="N56" s="59">
        <f>N8+N12+N16+N20+N24+N28+N32+N36+N40+N44+N49+N53</f>
        <v>528532.59999999986</v>
      </c>
      <c r="O56" s="60">
        <f>D56-G56-K56</f>
        <v>827404.82000000193</v>
      </c>
      <c r="P56" s="60">
        <f>O56*100/D56</f>
        <v>4.0965027240049698</v>
      </c>
      <c r="Q56" s="59">
        <f>Q8+Q12+Q16+Q20+Q24+Q28+Q32+Q36+Q40+Q44+Q49+Q53</f>
        <v>147.56999999994878</v>
      </c>
      <c r="R56" s="61">
        <f>F56-J56-N56</f>
        <v>827257.25000000163</v>
      </c>
    </row>
    <row r="57" spans="1:18" ht="18.95" customHeight="1" thickTop="1" x14ac:dyDescent="0.45">
      <c r="A57" s="43"/>
      <c r="B57" s="44"/>
      <c r="C57" s="45"/>
      <c r="D57" s="46"/>
      <c r="E57" s="47"/>
      <c r="F57" s="46"/>
      <c r="G57" s="48"/>
      <c r="H57" s="49"/>
      <c r="I57" s="48"/>
      <c r="J57" s="49"/>
      <c r="K57" s="48"/>
      <c r="L57" s="49"/>
      <c r="M57" s="48"/>
      <c r="N57" s="48"/>
      <c r="O57" s="49"/>
      <c r="P57" s="49"/>
      <c r="Q57" s="48"/>
      <c r="R57" s="51"/>
    </row>
    <row r="58" spans="1:18" ht="18.95" customHeight="1" x14ac:dyDescent="0.45">
      <c r="A58" s="52"/>
      <c r="B58" s="36" t="s">
        <v>33</v>
      </c>
      <c r="C58" s="19"/>
      <c r="D58" s="20"/>
      <c r="E58" s="21"/>
      <c r="F58" s="94"/>
      <c r="G58" s="95"/>
      <c r="H58" s="96"/>
      <c r="I58" s="95"/>
      <c r="J58" s="96"/>
      <c r="K58" s="95"/>
      <c r="L58" s="96"/>
      <c r="M58" s="95"/>
      <c r="N58" s="95"/>
      <c r="O58" s="96"/>
      <c r="P58" s="96"/>
      <c r="Q58" s="95"/>
      <c r="R58" s="97"/>
    </row>
    <row r="59" spans="1:18" ht="18.95" customHeight="1" x14ac:dyDescent="0.45">
      <c r="A59" s="71">
        <v>1.1299999999999999</v>
      </c>
      <c r="B59" s="33" t="s">
        <v>34</v>
      </c>
      <c r="C59" s="11" t="s">
        <v>97</v>
      </c>
      <c r="D59" s="12">
        <f>F59+E59</f>
        <v>2877000</v>
      </c>
      <c r="E59" s="13"/>
      <c r="F59" s="98">
        <v>2877000</v>
      </c>
      <c r="G59" s="92">
        <f>J59+I59</f>
        <v>2876848.1000000006</v>
      </c>
      <c r="H59" s="96">
        <f>G59*100/D59</f>
        <v>99.994720194647229</v>
      </c>
      <c r="I59" s="92"/>
      <c r="J59" s="92">
        <f>99630+6240+136766.5+117900+7652.6+70120.7+28875+41831.8+213834.5+76509.5+33916+33821+100686.75+205439+29240+235498.3+122932.6+107960+124344+66000+209493+104466.9+90000+33080+81308.95+36281.75+50461.2+130450+32193+5500+7696+61589.25+42646.4+2724+34270+10390+29025.4+30838+25236</f>
        <v>2876848.1000000006</v>
      </c>
      <c r="K59" s="92">
        <f>N59+M59</f>
        <v>5.8207660913467407E-11</v>
      </c>
      <c r="L59" s="92">
        <f>K59*100/D59</f>
        <v>2.0232068444027599E-15</v>
      </c>
      <c r="M59" s="92"/>
      <c r="N59" s="92">
        <f>190344+38844+15000+30833.2-41831.8-33821+30833.2+21011+82108+90404.3+18000-122932.6-124344-66000+19534.6+18000+3360-104466.9-13928.8+25100-50461.2+3360+14186.4-11-474.8-0.2+18820-42646.4+14018-30838-2000</f>
        <v>5.8207660913467407E-11</v>
      </c>
      <c r="O59" s="92">
        <f>D59-G59-K59</f>
        <v>151.899999999383</v>
      </c>
      <c r="P59" s="92">
        <f>O59*100/D59</f>
        <v>5.2798053527766077E-3</v>
      </c>
      <c r="Q59" s="92">
        <f>E59-I59-M59</f>
        <v>0</v>
      </c>
      <c r="R59" s="93">
        <f>F59-J59-N59</f>
        <v>151.899999999383</v>
      </c>
    </row>
    <row r="60" spans="1:18" ht="18.95" customHeight="1" x14ac:dyDescent="0.45">
      <c r="A60" s="52"/>
      <c r="B60" s="33" t="s">
        <v>92</v>
      </c>
      <c r="C60" s="19"/>
      <c r="D60" s="20"/>
      <c r="E60" s="21"/>
      <c r="F60" s="94"/>
      <c r="G60" s="95"/>
      <c r="H60" s="96"/>
      <c r="I60" s="95"/>
      <c r="J60" s="96"/>
      <c r="K60" s="95"/>
      <c r="L60" s="96"/>
      <c r="M60" s="95"/>
      <c r="N60" s="95"/>
      <c r="O60" s="96"/>
      <c r="P60" s="96"/>
      <c r="Q60" s="95"/>
      <c r="R60" s="97"/>
    </row>
    <row r="61" spans="1:18" ht="18.95" customHeight="1" x14ac:dyDescent="0.45">
      <c r="A61" s="52"/>
      <c r="B61" s="33"/>
      <c r="C61" s="19"/>
      <c r="D61" s="20"/>
      <c r="E61" s="21"/>
      <c r="F61" s="94"/>
      <c r="G61" s="95"/>
      <c r="H61" s="96"/>
      <c r="I61" s="95"/>
      <c r="J61" s="96"/>
      <c r="K61" s="95"/>
      <c r="L61" s="96"/>
      <c r="M61" s="95"/>
      <c r="N61" s="95"/>
      <c r="O61" s="96"/>
      <c r="P61" s="96"/>
      <c r="Q61" s="95"/>
      <c r="R61" s="97"/>
    </row>
    <row r="62" spans="1:18" ht="18.95" customHeight="1" x14ac:dyDescent="0.45">
      <c r="A62" s="52"/>
      <c r="B62" s="36" t="s">
        <v>35</v>
      </c>
      <c r="C62" s="19"/>
      <c r="D62" s="20"/>
      <c r="E62" s="21"/>
      <c r="F62" s="94"/>
      <c r="G62" s="95"/>
      <c r="H62" s="96"/>
      <c r="I62" s="95"/>
      <c r="J62" s="96"/>
      <c r="K62" s="95"/>
      <c r="L62" s="96"/>
      <c r="M62" s="95"/>
      <c r="N62" s="95"/>
      <c r="O62" s="96"/>
      <c r="P62" s="96"/>
      <c r="Q62" s="95"/>
      <c r="R62" s="97"/>
    </row>
    <row r="63" spans="1:18" ht="18.95" customHeight="1" x14ac:dyDescent="0.45">
      <c r="A63" s="71">
        <v>1.1399999999999999</v>
      </c>
      <c r="B63" s="33" t="s">
        <v>79</v>
      </c>
      <c r="C63" s="11" t="s">
        <v>97</v>
      </c>
      <c r="D63" s="12">
        <f>F63+E63</f>
        <v>2868000</v>
      </c>
      <c r="E63" s="13"/>
      <c r="F63" s="98">
        <v>2868000</v>
      </c>
      <c r="G63" s="92">
        <f>J63+I63</f>
        <v>2782977.1500000004</v>
      </c>
      <c r="H63" s="96">
        <f>G63*100/D63</f>
        <v>97.03546548117157</v>
      </c>
      <c r="I63" s="92"/>
      <c r="J63" s="92">
        <f>99560+438922+908000+196542.45+1201.8+100603+50420+50000+101592+8800+146616.1+65307.15+11687.8+222759+57318.2+240+215485.85+57074+15305.2+8726+14610.6+1500+8626+2080</f>
        <v>2782977.1500000004</v>
      </c>
      <c r="K63" s="92">
        <f>N63+M63</f>
        <v>69301.200000000012</v>
      </c>
      <c r="L63" s="92">
        <f>K63*100/D63</f>
        <v>2.4163598326359836</v>
      </c>
      <c r="M63" s="92"/>
      <c r="N63" s="92">
        <f>1201.8-1201.8+18000+12139-8800+24960+25680-11687.8+26978+50185.8-57318.2-40-20+4213-57074-4675.6+4213-8726-8626+59900</f>
        <v>69301.200000000012</v>
      </c>
      <c r="O63" s="92">
        <f>D63-G63-K63</f>
        <v>15721.649999999616</v>
      </c>
      <c r="P63" s="92">
        <f>O63*100/D63</f>
        <v>0.54817468619245524</v>
      </c>
      <c r="Q63" s="92">
        <f>E63-I63-M63</f>
        <v>0</v>
      </c>
      <c r="R63" s="93">
        <f>F63-J63-N63</f>
        <v>15721.649999999616</v>
      </c>
    </row>
    <row r="64" spans="1:18" ht="18.95" customHeight="1" x14ac:dyDescent="0.45">
      <c r="A64" s="52"/>
      <c r="B64" s="33" t="s">
        <v>93</v>
      </c>
      <c r="C64" s="19"/>
      <c r="D64" s="20"/>
      <c r="E64" s="21"/>
      <c r="F64" s="94"/>
      <c r="G64" s="95"/>
      <c r="H64" s="96"/>
      <c r="I64" s="95"/>
      <c r="J64" s="96"/>
      <c r="K64" s="95"/>
      <c r="L64" s="96"/>
      <c r="M64" s="95"/>
      <c r="N64" s="95"/>
      <c r="O64" s="96"/>
      <c r="P64" s="96"/>
      <c r="Q64" s="95"/>
      <c r="R64" s="97"/>
    </row>
    <row r="65" spans="1:18" ht="18.95" customHeight="1" x14ac:dyDescent="0.45">
      <c r="A65" s="52"/>
      <c r="B65" s="33"/>
      <c r="C65" s="19"/>
      <c r="D65" s="20"/>
      <c r="E65" s="21"/>
      <c r="F65" s="94"/>
      <c r="G65" s="95"/>
      <c r="H65" s="96"/>
      <c r="I65" s="95"/>
      <c r="J65" s="96"/>
      <c r="K65" s="95"/>
      <c r="L65" s="96"/>
      <c r="M65" s="95"/>
      <c r="N65" s="95"/>
      <c r="O65" s="96"/>
      <c r="P65" s="96"/>
      <c r="Q65" s="95"/>
      <c r="R65" s="97"/>
    </row>
    <row r="66" spans="1:18" ht="18.95" customHeight="1" x14ac:dyDescent="0.45">
      <c r="A66" s="52"/>
      <c r="B66" s="36" t="s">
        <v>36</v>
      </c>
      <c r="C66" s="19"/>
      <c r="D66" s="20"/>
      <c r="E66" s="21"/>
      <c r="F66" s="94"/>
      <c r="G66" s="95"/>
      <c r="H66" s="96"/>
      <c r="I66" s="95"/>
      <c r="J66" s="96"/>
      <c r="K66" s="95"/>
      <c r="L66" s="96"/>
      <c r="M66" s="95"/>
      <c r="N66" s="95"/>
      <c r="O66" s="96"/>
      <c r="P66" s="96"/>
      <c r="Q66" s="95"/>
      <c r="R66" s="97"/>
    </row>
    <row r="67" spans="1:18" ht="18.95" customHeight="1" x14ac:dyDescent="0.45">
      <c r="A67" s="71">
        <v>1.1499999999999999</v>
      </c>
      <c r="B67" s="33" t="s">
        <v>80</v>
      </c>
      <c r="C67" s="11" t="s">
        <v>97</v>
      </c>
      <c r="D67" s="12">
        <f>F67+E67</f>
        <v>14529000</v>
      </c>
      <c r="E67" s="13"/>
      <c r="F67" s="98">
        <v>14529000</v>
      </c>
      <c r="G67" s="92">
        <f>J67+I67</f>
        <v>14218389.460000003</v>
      </c>
      <c r="H67" s="96">
        <f>G67*100/D67</f>
        <v>97.862134076674252</v>
      </c>
      <c r="I67" s="92"/>
      <c r="J67" s="92">
        <f>26949.25+49180+7652.6+275185.2+97564+69930+44930+418162.85+110661.8+7497+6664+100346+33690+2083087.8+451192.4+388608+39077.8+99400+70520+53980+36865+326772+4364.53+27600+6885+419898.15+37876+11300+1200+172114+13680+90218+87580+18720+209442+134000+134000+25000+517634.3+131288.11+92965+2648.25+709815+99722.5+94595.7+34200+354375+8076.15+99690+66105+1087066+3580+510099.75+56781+31736+87917.1+10500+69900+135557.21+33180+8162+96910+479520+15900+99320+13830+637724.1+165375+133271.4+17100+2320+612222.6+10180+317975+157179.9+41220+1454.13+4965.12+3950+50000+30000+14420+268685+360343.8+81370+7787.46+99831+42570.6+240+2836.9+12500</f>
        <v>14218389.460000003</v>
      </c>
      <c r="K67" s="92">
        <f>N67+M67</f>
        <v>52774.399999999572</v>
      </c>
      <c r="L67" s="92">
        <f>K67*100/D67</f>
        <v>0.36323490949135917</v>
      </c>
      <c r="M67" s="92"/>
      <c r="N67" s="92">
        <f>15000+67300.8+113833+23520+498886+477442-97564-110661.8-2403.6+15000+24027+42371.5+999270-39077.8-19290.5+165827.5+78117-326772-37876-172114+24036-209442-134000-134000-99722.5+42700-94595.7+24027+13220+10500+28500-523.1-1201.8-11+43500-354375-66105-87917.1-10500-420+50845.8+72108-479520-165375-133271.4-17487.8-3605.4+80108+47240.4+18000+108162+43500+44035+24027-157179.9-2003.6-2689.2+4005.4-42570.6-102153-33897.2-8009</f>
        <v>52774.399999999572</v>
      </c>
      <c r="O67" s="92">
        <f>D67-G67-K67</f>
        <v>257836.13999999769</v>
      </c>
      <c r="P67" s="92">
        <f>O67*100/D67</f>
        <v>1.7746310138343844</v>
      </c>
      <c r="Q67" s="92">
        <f>E67-I67-M67</f>
        <v>0</v>
      </c>
      <c r="R67" s="93">
        <f>F67-J67-N67</f>
        <v>257836.13999999769</v>
      </c>
    </row>
    <row r="68" spans="1:18" ht="18.95" customHeight="1" x14ac:dyDescent="0.45">
      <c r="A68" s="52"/>
      <c r="B68" s="33" t="s">
        <v>94</v>
      </c>
      <c r="C68" s="19"/>
      <c r="D68" s="20"/>
      <c r="E68" s="21"/>
      <c r="F68" s="94"/>
      <c r="G68" s="92"/>
      <c r="H68" s="96"/>
      <c r="I68" s="92"/>
      <c r="J68" s="92"/>
      <c r="K68" s="92"/>
      <c r="L68" s="92"/>
      <c r="M68" s="92"/>
      <c r="N68" s="92"/>
      <c r="O68" s="92"/>
      <c r="P68" s="92"/>
      <c r="Q68" s="92"/>
      <c r="R68" s="93"/>
    </row>
    <row r="69" spans="1:18" ht="18.95" customHeight="1" x14ac:dyDescent="0.45">
      <c r="A69" s="52"/>
      <c r="B69" s="33"/>
      <c r="C69" s="19"/>
      <c r="D69" s="20"/>
      <c r="E69" s="21"/>
      <c r="F69" s="94"/>
      <c r="G69" s="95"/>
      <c r="H69" s="96"/>
      <c r="I69" s="95"/>
      <c r="J69" s="96"/>
      <c r="K69" s="95"/>
      <c r="L69" s="96"/>
      <c r="M69" s="95"/>
      <c r="N69" s="95"/>
      <c r="O69" s="96"/>
      <c r="P69" s="96"/>
      <c r="Q69" s="95"/>
      <c r="R69" s="97"/>
    </row>
    <row r="70" spans="1:18" ht="18.95" customHeight="1" x14ac:dyDescent="0.45">
      <c r="A70" s="52"/>
      <c r="B70" s="36" t="s">
        <v>37</v>
      </c>
      <c r="C70" s="19"/>
      <c r="D70" s="20"/>
      <c r="E70" s="21"/>
      <c r="F70" s="94"/>
      <c r="G70" s="95"/>
      <c r="H70" s="96"/>
      <c r="I70" s="95"/>
      <c r="J70" s="96"/>
      <c r="K70" s="95"/>
      <c r="L70" s="96"/>
      <c r="M70" s="95"/>
      <c r="N70" s="95"/>
      <c r="O70" s="96"/>
      <c r="P70" s="96"/>
      <c r="Q70" s="95"/>
      <c r="R70" s="97"/>
    </row>
    <row r="71" spans="1:18" ht="18.95" customHeight="1" x14ac:dyDescent="0.45">
      <c r="A71" s="71">
        <v>1.1599999999999999</v>
      </c>
      <c r="B71" s="33" t="s">
        <v>38</v>
      </c>
      <c r="C71" s="11" t="s">
        <v>97</v>
      </c>
      <c r="D71" s="12">
        <f>F71+E71</f>
        <v>19450000</v>
      </c>
      <c r="E71" s="13"/>
      <c r="F71" s="98">
        <v>19450000</v>
      </c>
      <c r="G71" s="92">
        <f>J71+I71</f>
        <v>18635033.27</v>
      </c>
      <c r="H71" s="96">
        <f>G71*100/D71</f>
        <v>95.809939691516703</v>
      </c>
      <c r="I71" s="92"/>
      <c r="J71" s="92">
        <f>98750+98360+2390+7652.6+201286.1+130718.3+1992009.05+1076394+278347.7+231210+428600+142913.8+6000+84683+157740+11780+81870+4800+536977.7+717596+21534.4+55291.4+43190+242910+293960+213019.6+107960+741222+99500+161842.95+383902.65+171603.8+121420+97884+1509263+6960+193500+193500+517835.1+283884+79819.85+154260.2+78270+99847+1094000+96750+282900+63738+365922+20330+79470+304564.5+6240+13372+67562.79+27922.5+2320+7870+91672+2560+1520+5700+75516.2+529713.55+76770+370006.9+15590+138160.82+99000+569549.05+151140+25868.9+171880.4+97960+53324+30080+4006+377168+31943+80174.25+426488.4+1261.8+203120+1780+208432.3+16770+32700+5768+3460+140529.71</f>
        <v>18635033.27</v>
      </c>
      <c r="K71" s="92">
        <f>N71+M71</f>
        <v>120083.79999999994</v>
      </c>
      <c r="L71" s="92">
        <f>K71*100/D71</f>
        <v>0.61739742930591235</v>
      </c>
      <c r="M71" s="92"/>
      <c r="N71" s="92">
        <f>127730.5+15000+1793990+843980+18021.6+121904.4+483750-130718.3-1076394-428600-142913.8+18000+4000+12000+21000+210216+23825.2+566784-717596-55291.4-293960-213019.6+19625.2+151394.4-2696.4-171603.8-121420-2403.6-21021.6+110482.8+40739.6-193500-193500-283884-154260.2+282297+85500-11+26978-96750-282900+23760+325933-304564.5-9409.9-370006.9+106627.8+18414.4-13213.5+21016.2+23760+45000+-171880.4+168162-69-400-7005.4+47520-208432.3-2902.7+33000</f>
        <v>120083.79999999994</v>
      </c>
      <c r="O71" s="92">
        <f>D71-G71-K71</f>
        <v>694882.93000000052</v>
      </c>
      <c r="P71" s="92">
        <f>O71*100/D71</f>
        <v>3.57266287917738</v>
      </c>
      <c r="Q71" s="92">
        <f>E71-I71-M71</f>
        <v>0</v>
      </c>
      <c r="R71" s="93">
        <f>F71-J71-N71</f>
        <v>694882.93000000052</v>
      </c>
    </row>
    <row r="72" spans="1:18" ht="18.95" customHeight="1" x14ac:dyDescent="0.45">
      <c r="A72" s="52"/>
      <c r="B72" s="33" t="s">
        <v>95</v>
      </c>
      <c r="C72" s="19"/>
      <c r="D72" s="20"/>
      <c r="E72" s="21"/>
      <c r="F72" s="94"/>
      <c r="G72" s="95"/>
      <c r="H72" s="96"/>
      <c r="I72" s="95"/>
      <c r="J72" s="96"/>
      <c r="K72" s="95"/>
      <c r="L72" s="96"/>
      <c r="M72" s="95"/>
      <c r="N72" s="95"/>
      <c r="O72" s="96"/>
      <c r="P72" s="96"/>
      <c r="Q72" s="95"/>
      <c r="R72" s="97"/>
    </row>
    <row r="73" spans="1:18" ht="18.95" customHeight="1" x14ac:dyDescent="0.45">
      <c r="A73" s="52"/>
      <c r="B73" s="33"/>
      <c r="C73" s="19"/>
      <c r="D73" s="20"/>
      <c r="E73" s="21"/>
      <c r="F73" s="94"/>
      <c r="G73" s="95"/>
      <c r="H73" s="96"/>
      <c r="I73" s="95"/>
      <c r="J73" s="96"/>
      <c r="K73" s="95"/>
      <c r="L73" s="96"/>
      <c r="M73" s="95"/>
      <c r="N73" s="95"/>
      <c r="O73" s="96"/>
      <c r="P73" s="96"/>
      <c r="Q73" s="95"/>
      <c r="R73" s="97"/>
    </row>
    <row r="74" spans="1:18" ht="18.95" customHeight="1" x14ac:dyDescent="0.45">
      <c r="A74" s="52"/>
      <c r="B74" s="36" t="s">
        <v>39</v>
      </c>
      <c r="C74" s="19"/>
      <c r="D74" s="20"/>
      <c r="E74" s="21"/>
      <c r="F74" s="94"/>
      <c r="G74" s="95"/>
      <c r="H74" s="96"/>
      <c r="I74" s="95"/>
      <c r="J74" s="96"/>
      <c r="K74" s="95"/>
      <c r="L74" s="96"/>
      <c r="M74" s="95"/>
      <c r="N74" s="95"/>
      <c r="O74" s="96"/>
      <c r="P74" s="96"/>
      <c r="Q74" s="95"/>
      <c r="R74" s="97"/>
    </row>
    <row r="75" spans="1:18" ht="18.95" customHeight="1" x14ac:dyDescent="0.45">
      <c r="A75" s="71">
        <v>1.17</v>
      </c>
      <c r="B75" s="33" t="s">
        <v>81</v>
      </c>
      <c r="C75" s="11" t="s">
        <v>32</v>
      </c>
      <c r="D75" s="12">
        <f>F75+E75</f>
        <v>14530000</v>
      </c>
      <c r="E75" s="13"/>
      <c r="F75" s="98">
        <v>14530000</v>
      </c>
      <c r="G75" s="92">
        <f>J75+I75</f>
        <v>13740176.169999998</v>
      </c>
      <c r="H75" s="96">
        <f>G75*100/D75</f>
        <v>94.564185615966949</v>
      </c>
      <c r="I75" s="92"/>
      <c r="J75" s="92">
        <f>97410+39276+30000+7652.6+208610.25+471200+188172+144766.8+71800+450155+710002.5+155048.8+108000+344750+585765+147750+69764.2+6268+108000+410000+147750+81870+396052.6+297760+207964+98025+91130+1105001.63+108000+290000+140165.5+21287.65+397833.75+216980.85+264000+9800+96950+16800+525320.75+99510+247997.7+42000+99355+518020.2+321891.15+2310.13+3917.27+2776+44000+85927.05+37105.5+489238.8+350239.2+99960+641404.6+330913+271374.2+73470+98360+22341.6+18930+99105.5+3970.77+380582.55+134797.05+18664.86+7925.96+188635.2+99800+19750+18820</f>
        <v>13740176.169999998</v>
      </c>
      <c r="K75" s="92">
        <f>N75+M75</f>
        <v>157752.40000000055</v>
      </c>
      <c r="L75" s="92">
        <f>K75*100/D75</f>
        <v>1.0857013076393704</v>
      </c>
      <c r="M75" s="92"/>
      <c r="N75" s="92">
        <f>512172+780415.5+1285765+1011915+710002.5+75193.5+15000+66585.5+66776.4-188172-144766.8-450155-710002.5-108000-344750-585765-147750-69764.2+70776.4+124998+9000-108000-410000-147750+11912.6+135687.35+24027-297760-207964+62294.9-7710.8-108000-290000-140165.5+240355.4-216980.85-264000-2.7+259645.9+12700-247997.7+36040.5+22500+36000+18027-7409-11+24000+40600+267155.8-321891.15-20+203611.3+7000-350239.2-11914.85-300-840+64647.6+24000+40000+40048.6+110000-271374.2-468.5-23115.3-2500.9-4004.5-9.5+3360+20000+23760+50000-188635.2-249.9-201.1-80+6500+24000</f>
        <v>157752.40000000055</v>
      </c>
      <c r="O75" s="92">
        <f>D75-G75-K75</f>
        <v>632071.43000000133</v>
      </c>
      <c r="P75" s="92">
        <f>O75*100/D75</f>
        <v>4.3501130763936775</v>
      </c>
      <c r="Q75" s="92">
        <f>E75-I75-M75</f>
        <v>0</v>
      </c>
      <c r="R75" s="93">
        <f>F75-J75-N75</f>
        <v>632071.43000000133</v>
      </c>
    </row>
    <row r="76" spans="1:18" ht="18.95" customHeight="1" x14ac:dyDescent="0.45">
      <c r="A76" s="71"/>
      <c r="B76" s="33" t="s">
        <v>12</v>
      </c>
      <c r="C76" s="11"/>
      <c r="D76" s="12"/>
      <c r="E76" s="13"/>
      <c r="F76" s="98"/>
      <c r="G76" s="92"/>
      <c r="H76" s="96"/>
      <c r="I76" s="92"/>
      <c r="J76" s="92"/>
      <c r="K76" s="92"/>
      <c r="L76" s="92"/>
      <c r="M76" s="92"/>
      <c r="N76" s="92"/>
      <c r="O76" s="92"/>
      <c r="P76" s="92"/>
      <c r="Q76" s="92"/>
      <c r="R76" s="93"/>
    </row>
    <row r="77" spans="1:18" ht="18.95" customHeight="1" x14ac:dyDescent="0.45">
      <c r="A77" s="52"/>
      <c r="B77" s="33"/>
      <c r="C77" s="19"/>
      <c r="D77" s="20"/>
      <c r="E77" s="21"/>
      <c r="F77" s="94"/>
      <c r="G77" s="95"/>
      <c r="H77" s="96"/>
      <c r="I77" s="95"/>
      <c r="J77" s="96"/>
      <c r="K77" s="95"/>
      <c r="L77" s="96"/>
      <c r="M77" s="95"/>
      <c r="N77" s="95"/>
      <c r="O77" s="96"/>
      <c r="P77" s="96"/>
      <c r="Q77" s="95"/>
      <c r="R77" s="97"/>
    </row>
    <row r="78" spans="1:18" ht="18.95" customHeight="1" thickBot="1" x14ac:dyDescent="0.5">
      <c r="A78" s="83" t="s">
        <v>15</v>
      </c>
      <c r="B78" s="84"/>
      <c r="C78" s="84"/>
      <c r="D78" s="57">
        <f>F78+E78</f>
        <v>54254000</v>
      </c>
      <c r="E78" s="58">
        <f>E59+E63+E67+E71+E75</f>
        <v>0</v>
      </c>
      <c r="F78" s="57">
        <f>F59+F63+F67+F71+F75</f>
        <v>54254000</v>
      </c>
      <c r="G78" s="59">
        <f>J78+I78</f>
        <v>52253424.150000006</v>
      </c>
      <c r="H78" s="60">
        <f>G78*100/D78</f>
        <v>96.312574464555624</v>
      </c>
      <c r="I78" s="59">
        <f>I59+I63+I67+I71+I75</f>
        <v>0</v>
      </c>
      <c r="J78" s="60">
        <f>J59+J63+J67+J71+J75</f>
        <v>52253424.150000006</v>
      </c>
      <c r="K78" s="59">
        <f>N78+M78</f>
        <v>399911.80000000016</v>
      </c>
      <c r="L78" s="60">
        <f>K78*100/D78</f>
        <v>0.73711025915139927</v>
      </c>
      <c r="M78" s="59">
        <f>M59+M63+M67+M71+M75</f>
        <v>0</v>
      </c>
      <c r="N78" s="59">
        <f>N59+N63+N67+N71+N75</f>
        <v>399911.80000000016</v>
      </c>
      <c r="O78" s="60">
        <f>D78-G78-K78</f>
        <v>1600664.0499999938</v>
      </c>
      <c r="P78" s="60">
        <f>O78*100/D78</f>
        <v>2.9503152762929807</v>
      </c>
      <c r="Q78" s="59">
        <f>Q59+Q63+Q67+Q71+Q75</f>
        <v>0</v>
      </c>
      <c r="R78" s="61">
        <f>F78-J78-N78</f>
        <v>1600664.0499999938</v>
      </c>
    </row>
    <row r="79" spans="1:18" ht="18.95" customHeight="1" thickTop="1" x14ac:dyDescent="0.45">
      <c r="A79" s="43"/>
      <c r="B79" s="44"/>
      <c r="C79" s="45"/>
      <c r="D79" s="46"/>
      <c r="E79" s="47"/>
      <c r="F79" s="46"/>
      <c r="G79" s="48"/>
      <c r="H79" s="49"/>
      <c r="I79" s="48"/>
      <c r="J79" s="49"/>
      <c r="K79" s="48"/>
      <c r="L79" s="50"/>
      <c r="M79" s="48"/>
      <c r="N79" s="48"/>
      <c r="O79" s="49"/>
      <c r="P79" s="49"/>
      <c r="Q79" s="48"/>
      <c r="R79" s="51"/>
    </row>
    <row r="80" spans="1:18" ht="18.95" customHeight="1" x14ac:dyDescent="0.45">
      <c r="A80" s="52"/>
      <c r="B80" s="36" t="s">
        <v>26</v>
      </c>
      <c r="C80" s="19"/>
      <c r="D80" s="20"/>
      <c r="E80" s="21"/>
      <c r="F80" s="20"/>
      <c r="G80" s="22"/>
      <c r="H80" s="14"/>
      <c r="I80" s="22"/>
      <c r="J80" s="14"/>
      <c r="K80" s="22"/>
      <c r="L80" s="23"/>
      <c r="M80" s="22"/>
      <c r="N80" s="22"/>
      <c r="O80" s="14"/>
      <c r="P80" s="14"/>
      <c r="Q80" s="22"/>
      <c r="R80" s="53"/>
    </row>
    <row r="81" spans="1:18" ht="18.95" customHeight="1" x14ac:dyDescent="0.45">
      <c r="A81" s="54" t="s">
        <v>42</v>
      </c>
      <c r="B81" s="33" t="s">
        <v>82</v>
      </c>
      <c r="C81" s="11" t="s">
        <v>60</v>
      </c>
      <c r="D81" s="12">
        <f>F81+E81</f>
        <v>7600000</v>
      </c>
      <c r="E81" s="13"/>
      <c r="F81" s="12">
        <v>7600000</v>
      </c>
      <c r="G81" s="92">
        <f>J81+I81</f>
        <v>7599907.7500000009</v>
      </c>
      <c r="H81" s="96">
        <f>G81*100/D81</f>
        <v>99.998786184210545</v>
      </c>
      <c r="I81" s="92"/>
      <c r="J81" s="92">
        <f>14195.25+76020+9422.42+97450+222030+222030+70832.4+222030+24521.6+88802.1+470310+454760+48586.3+56781+8544.5+39035.1+245430+245430+25110+58050.8+72563.5+240930+21416+21680+108239.2+235530+435285+231930+399510+239130+205492.7+23200+231930+201054.2+27260+235530+232830+232830+392700+215530+299605+33439.7+1280+109511.25+27600+154440+8156+213366.5+11302.73+34704.5+1240+1320</f>
        <v>7599907.7500000009</v>
      </c>
      <c r="K81" s="92">
        <f>N81+M81</f>
        <v>-5.8207660913467407E-11</v>
      </c>
      <c r="L81" s="92">
        <f>K81*100/D81</f>
        <v>-7.6589027517720277E-16</v>
      </c>
      <c r="M81" s="92"/>
      <c r="N81" s="92">
        <f>18601.6+5920-24521.6+9212.6+5540+39035.1-8544.5-39035.1+274234+23560+14160+89757.7+15900-108239.2-0.9+239130-239130+32243.5+13440+83160-201054.2-200-200-19022.5-1660-213366.5-7060-400-1460</f>
        <v>-5.8207660913467407E-11</v>
      </c>
      <c r="O81" s="92">
        <f>D81-G81-K81</f>
        <v>92.249999999126885</v>
      </c>
      <c r="P81" s="92">
        <f>O81*100/D81</f>
        <v>1.213815789462196E-3</v>
      </c>
      <c r="Q81" s="92">
        <f>E81-I81-M81</f>
        <v>0</v>
      </c>
      <c r="R81" s="93">
        <f>F81-J81-N81</f>
        <v>92.249999999126885</v>
      </c>
    </row>
    <row r="82" spans="1:18" ht="18.95" customHeight="1" x14ac:dyDescent="0.45">
      <c r="A82" s="52"/>
      <c r="B82" s="33" t="s">
        <v>98</v>
      </c>
      <c r="C82" s="19"/>
      <c r="D82" s="20"/>
      <c r="E82" s="21"/>
      <c r="F82" s="20"/>
      <c r="G82" s="95"/>
      <c r="H82" s="96"/>
      <c r="I82" s="95"/>
      <c r="J82" s="96"/>
      <c r="K82" s="95"/>
      <c r="L82" s="99"/>
      <c r="M82" s="95"/>
      <c r="N82" s="95"/>
      <c r="O82" s="96"/>
      <c r="P82" s="96"/>
      <c r="Q82" s="95"/>
      <c r="R82" s="97"/>
    </row>
    <row r="83" spans="1:18" ht="18.95" customHeight="1" x14ac:dyDescent="0.45">
      <c r="A83" s="52"/>
      <c r="B83" s="33"/>
      <c r="C83" s="19"/>
      <c r="D83" s="20"/>
      <c r="E83" s="21"/>
      <c r="F83" s="20"/>
      <c r="G83" s="95"/>
      <c r="H83" s="96"/>
      <c r="I83" s="95"/>
      <c r="J83" s="96"/>
      <c r="K83" s="95"/>
      <c r="L83" s="99"/>
      <c r="M83" s="95"/>
      <c r="N83" s="95"/>
      <c r="O83" s="96"/>
      <c r="P83" s="96"/>
      <c r="Q83" s="95"/>
      <c r="R83" s="97"/>
    </row>
    <row r="84" spans="1:18" ht="18.95" customHeight="1" x14ac:dyDescent="0.45">
      <c r="A84" s="56"/>
      <c r="B84" s="36" t="s">
        <v>27</v>
      </c>
      <c r="C84" s="19"/>
      <c r="D84" s="20"/>
      <c r="E84" s="21"/>
      <c r="F84" s="20"/>
      <c r="G84" s="95"/>
      <c r="H84" s="96"/>
      <c r="I84" s="95"/>
      <c r="J84" s="96"/>
      <c r="K84" s="95"/>
      <c r="L84" s="99"/>
      <c r="M84" s="95"/>
      <c r="N84" s="95"/>
      <c r="O84" s="96"/>
      <c r="P84" s="96"/>
      <c r="Q84" s="95"/>
      <c r="R84" s="97"/>
    </row>
    <row r="85" spans="1:18" ht="18.95" customHeight="1" x14ac:dyDescent="0.45">
      <c r="A85" s="56" t="s">
        <v>43</v>
      </c>
      <c r="B85" s="33" t="s">
        <v>83</v>
      </c>
      <c r="C85" s="11" t="s">
        <v>60</v>
      </c>
      <c r="D85" s="12">
        <f>F85+E85</f>
        <v>3800000</v>
      </c>
      <c r="E85" s="13"/>
      <c r="F85" s="12">
        <v>3800000</v>
      </c>
      <c r="G85" s="92">
        <f>J85+I85</f>
        <v>3799969.2999999993</v>
      </c>
      <c r="H85" s="96">
        <f>G85*100/D85</f>
        <v>99.999192105263148</v>
      </c>
      <c r="I85" s="92"/>
      <c r="J85" s="92">
        <f>86400+245900+92460+92540+80520+80070+96100+99650+98500+11040.75+55521+51325.2+6180+163140+88325+48680.1+81570+1080+163140+21769.05+58206.75+160140+52720.2+156540+151740+77070+156540+79470+83629.8+50576.4+156540+17520+401316+97000+93200+99940+102425.05+7200+1854+29986+2990+69409+30045</f>
        <v>3799969.2999999993</v>
      </c>
      <c r="K85" s="92">
        <f>N85+M85</f>
        <v>8.3673512563109398E-11</v>
      </c>
      <c r="L85" s="92">
        <f>K85*100/D85</f>
        <v>2.2019345411344579E-15</v>
      </c>
      <c r="M85" s="92"/>
      <c r="N85" s="92">
        <f>94100+7313+12000+24000+3000+30511-51325.2+9212.6-48680.1+133000+17802-52720.2-0.9+156540-156540-4787.8-400-26600-50576.4-2733.8-58940-4188.2-29986</f>
        <v>8.3673512563109398E-11</v>
      </c>
      <c r="O85" s="92">
        <f>D85-G85-K85</f>
        <v>30.700000000568252</v>
      </c>
      <c r="P85" s="92">
        <f>O85*100/D85</f>
        <v>8.0789473685705928E-4</v>
      </c>
      <c r="Q85" s="92">
        <f>E85-I85-M85</f>
        <v>0</v>
      </c>
      <c r="R85" s="93">
        <f>F85-J85-N85</f>
        <v>30.700000000568252</v>
      </c>
    </row>
    <row r="86" spans="1:18" ht="18.95" customHeight="1" x14ac:dyDescent="0.45">
      <c r="A86" s="52"/>
      <c r="B86" s="33" t="s">
        <v>99</v>
      </c>
      <c r="C86" s="19"/>
      <c r="D86" s="20"/>
      <c r="E86" s="21"/>
      <c r="F86" s="20"/>
      <c r="G86" s="95"/>
      <c r="H86" s="96"/>
      <c r="I86" s="95"/>
      <c r="J86" s="96"/>
      <c r="K86" s="95"/>
      <c r="L86" s="99"/>
      <c r="M86" s="95"/>
      <c r="N86" s="95"/>
      <c r="O86" s="96"/>
      <c r="P86" s="96"/>
      <c r="Q86" s="95"/>
      <c r="R86" s="97"/>
    </row>
    <row r="87" spans="1:18" s="3" customFormat="1" ht="18.95" customHeight="1" x14ac:dyDescent="0.45">
      <c r="A87" s="52"/>
      <c r="B87" s="33"/>
      <c r="C87" s="19"/>
      <c r="D87" s="20"/>
      <c r="E87" s="21"/>
      <c r="F87" s="20"/>
      <c r="G87" s="95"/>
      <c r="H87" s="96"/>
      <c r="I87" s="95"/>
      <c r="J87" s="96"/>
      <c r="K87" s="95"/>
      <c r="L87" s="99"/>
      <c r="M87" s="95"/>
      <c r="N87" s="95"/>
      <c r="O87" s="96"/>
      <c r="P87" s="96"/>
      <c r="Q87" s="95"/>
      <c r="R87" s="97"/>
    </row>
    <row r="88" spans="1:18" s="3" customFormat="1" ht="18.95" customHeight="1" x14ac:dyDescent="0.45">
      <c r="A88" s="52"/>
      <c r="B88" s="36" t="s">
        <v>53</v>
      </c>
      <c r="C88" s="19"/>
      <c r="D88" s="20"/>
      <c r="E88" s="21"/>
      <c r="F88" s="20"/>
      <c r="G88" s="95"/>
      <c r="H88" s="96"/>
      <c r="I88" s="95"/>
      <c r="J88" s="96"/>
      <c r="K88" s="95"/>
      <c r="L88" s="99"/>
      <c r="M88" s="95"/>
      <c r="N88" s="95"/>
      <c r="O88" s="96"/>
      <c r="P88" s="96"/>
      <c r="Q88" s="95"/>
      <c r="R88" s="97"/>
    </row>
    <row r="89" spans="1:18" s="3" customFormat="1" ht="18.95" customHeight="1" x14ac:dyDescent="0.45">
      <c r="A89" s="54" t="s">
        <v>13</v>
      </c>
      <c r="B89" s="33" t="s">
        <v>84</v>
      </c>
      <c r="C89" s="11" t="s">
        <v>113</v>
      </c>
      <c r="D89" s="12">
        <f>F89+E89</f>
        <v>4275000</v>
      </c>
      <c r="E89" s="13"/>
      <c r="F89" s="12">
        <v>4275000</v>
      </c>
      <c r="G89" s="92">
        <f>J89+I89</f>
        <v>2514127.65</v>
      </c>
      <c r="H89" s="96">
        <f>G89*100/D89</f>
        <v>58.810003508771928</v>
      </c>
      <c r="I89" s="92"/>
      <c r="J89" s="92">
        <f>77820+45835+21769.05+20330+231930+376510+227430+41328.95+60201.4+221130+217530+226530+26497.8+78547.05+14500+92388.4+226530+229230+480+77610</f>
        <v>2514127.65</v>
      </c>
      <c r="K89" s="92">
        <f>N89+M89</f>
        <v>1370250.7900000003</v>
      </c>
      <c r="L89" s="92">
        <f>K89*100/D89</f>
        <v>32.052650058479536</v>
      </c>
      <c r="M89" s="92"/>
      <c r="N89" s="92">
        <f>223991.7+31540+11880+6009-60201.4+6704.95+264000+23760-92388.4+7104.05+36032.4+497498.34+37431.5+195580-108890.9-500.45+290700</f>
        <v>1370250.7900000003</v>
      </c>
      <c r="O89" s="92">
        <f>D89-G89-K89</f>
        <v>390621.55999999982</v>
      </c>
      <c r="P89" s="92">
        <f>O89*100/D89</f>
        <v>9.1373464327485348</v>
      </c>
      <c r="Q89" s="92">
        <f>E89-I89-M89</f>
        <v>0</v>
      </c>
      <c r="R89" s="93">
        <f>F89-J89-N89</f>
        <v>390621.55999999982</v>
      </c>
    </row>
    <row r="90" spans="1:18" s="3" customFormat="1" ht="18.95" customHeight="1" x14ac:dyDescent="0.45">
      <c r="A90" s="52"/>
      <c r="B90" s="33" t="s">
        <v>85</v>
      </c>
      <c r="C90" s="19"/>
      <c r="D90" s="20"/>
      <c r="E90" s="21"/>
      <c r="F90" s="20"/>
      <c r="G90" s="92"/>
      <c r="H90" s="96"/>
      <c r="I90" s="92"/>
      <c r="J90" s="92"/>
      <c r="K90" s="92"/>
      <c r="L90" s="92"/>
      <c r="M90" s="92"/>
      <c r="N90" s="92"/>
      <c r="O90" s="92"/>
      <c r="P90" s="92"/>
      <c r="Q90" s="92"/>
      <c r="R90" s="93"/>
    </row>
    <row r="91" spans="1:18" s="3" customFormat="1" ht="18.95" customHeight="1" x14ac:dyDescent="0.45">
      <c r="A91" s="52"/>
      <c r="B91" s="33"/>
      <c r="C91" s="19"/>
      <c r="D91" s="20"/>
      <c r="E91" s="21"/>
      <c r="F91" s="20"/>
      <c r="G91" s="95"/>
      <c r="H91" s="96"/>
      <c r="I91" s="95"/>
      <c r="J91" s="96"/>
      <c r="K91" s="95"/>
      <c r="L91" s="99"/>
      <c r="M91" s="95"/>
      <c r="N91" s="95"/>
      <c r="O91" s="96"/>
      <c r="P91" s="96"/>
      <c r="Q91" s="95"/>
      <c r="R91" s="97"/>
    </row>
    <row r="92" spans="1:18" s="3" customFormat="1" ht="18.95" customHeight="1" x14ac:dyDescent="0.45">
      <c r="A92" s="52"/>
      <c r="B92" s="36" t="s">
        <v>54</v>
      </c>
      <c r="C92" s="19"/>
      <c r="D92" s="20"/>
      <c r="E92" s="21"/>
      <c r="F92" s="20"/>
      <c r="G92" s="95"/>
      <c r="H92" s="96"/>
      <c r="I92" s="95"/>
      <c r="J92" s="96"/>
      <c r="K92" s="95"/>
      <c r="L92" s="99"/>
      <c r="M92" s="95"/>
      <c r="N92" s="95"/>
      <c r="O92" s="96"/>
      <c r="P92" s="96"/>
      <c r="Q92" s="95"/>
      <c r="R92" s="97"/>
    </row>
    <row r="93" spans="1:18" s="3" customFormat="1" ht="18.95" customHeight="1" x14ac:dyDescent="0.45">
      <c r="A93" s="54" t="s">
        <v>56</v>
      </c>
      <c r="B93" s="33" t="s">
        <v>55</v>
      </c>
      <c r="C93" s="11" t="s">
        <v>113</v>
      </c>
      <c r="D93" s="12">
        <f>F93+E93</f>
        <v>4750000</v>
      </c>
      <c r="E93" s="13"/>
      <c r="F93" s="12">
        <v>4750000</v>
      </c>
      <c r="G93" s="92">
        <f>J93+I93</f>
        <v>2958058.0899999994</v>
      </c>
      <c r="H93" s="96">
        <f>G93*100/D93</f>
        <v>62.274907157894724</v>
      </c>
      <c r="I93" s="92"/>
      <c r="J93" s="92">
        <f>77820+232830+45835+65510+20330+97350+440051.64+231030+54047.7+35232.4+235530+227430+41645.4+61603.2+221130+217530+9220+226530+9100+26497.8+40731.05+114543.9+226530</f>
        <v>2958058.0899999994</v>
      </c>
      <c r="K93" s="92">
        <f>N93+M93</f>
        <v>1626304.08</v>
      </c>
      <c r="L93" s="92">
        <f>K93*100/D93</f>
        <v>34.237980631578949</v>
      </c>
      <c r="M93" s="92"/>
      <c r="N93" s="92">
        <f>35232.4-35232.4+7760+55243.2+12000+9060+63062.1+6009+36540-61603.2-1200-200+264000+36540-114543.9+40000-602.7-220+486700+11000+37431.5+146010+498165+53713.08+41440</f>
        <v>1626304.08</v>
      </c>
      <c r="O93" s="92">
        <f>D93-G93-K93</f>
        <v>165637.83000000054</v>
      </c>
      <c r="P93" s="92">
        <f>O93*100/D93</f>
        <v>3.4871122105263272</v>
      </c>
      <c r="Q93" s="92">
        <f>E93-I93-M93</f>
        <v>0</v>
      </c>
      <c r="R93" s="93">
        <f>F93-J93-N93</f>
        <v>165637.83000000054</v>
      </c>
    </row>
    <row r="94" spans="1:18" s="3" customFormat="1" ht="18.95" customHeight="1" x14ac:dyDescent="0.45">
      <c r="A94" s="54"/>
      <c r="B94" s="33"/>
      <c r="C94" s="11"/>
      <c r="D94" s="12"/>
      <c r="E94" s="13"/>
      <c r="F94" s="12"/>
      <c r="G94" s="2"/>
      <c r="H94" s="14"/>
      <c r="I94" s="2"/>
      <c r="J94" s="2"/>
      <c r="K94" s="2"/>
      <c r="L94" s="2"/>
      <c r="M94" s="2"/>
      <c r="N94" s="2"/>
      <c r="O94" s="2"/>
      <c r="P94" s="2"/>
      <c r="Q94" s="2"/>
      <c r="R94" s="55"/>
    </row>
    <row r="95" spans="1:18" s="3" customFormat="1" ht="18.95" customHeight="1" x14ac:dyDescent="0.45">
      <c r="A95" s="52"/>
      <c r="B95" s="33"/>
      <c r="C95" s="19"/>
      <c r="D95" s="20"/>
      <c r="E95" s="21"/>
      <c r="F95" s="20"/>
      <c r="G95" s="22"/>
      <c r="H95" s="14"/>
      <c r="I95" s="22"/>
      <c r="J95" s="14"/>
      <c r="K95" s="22"/>
      <c r="L95" s="23"/>
      <c r="M95" s="22"/>
      <c r="N95" s="22"/>
      <c r="O95" s="14"/>
      <c r="P95" s="14"/>
      <c r="Q95" s="22"/>
      <c r="R95" s="53"/>
    </row>
    <row r="96" spans="1:18" s="3" customFormat="1" ht="18.95" customHeight="1" thickBot="1" x14ac:dyDescent="0.5">
      <c r="A96" s="88" t="s">
        <v>28</v>
      </c>
      <c r="B96" s="89"/>
      <c r="C96" s="90"/>
      <c r="D96" s="57">
        <f>F96+E96</f>
        <v>20425000</v>
      </c>
      <c r="E96" s="58">
        <f>E81+E85+E89+E93</f>
        <v>0</v>
      </c>
      <c r="F96" s="57">
        <f>F81+F85+F89+F93</f>
        <v>20425000</v>
      </c>
      <c r="G96" s="59">
        <f>J96+I96</f>
        <v>16872062.789999999</v>
      </c>
      <c r="H96" s="60">
        <f>G96*100/D96</f>
        <v>82.604958580171356</v>
      </c>
      <c r="I96" s="59">
        <f>I81+I85+I89+I93</f>
        <v>0</v>
      </c>
      <c r="J96" s="60">
        <f>J81+J85+J89+J93</f>
        <v>16872062.789999999</v>
      </c>
      <c r="K96" s="59">
        <f>N96+M96</f>
        <v>2996554.87</v>
      </c>
      <c r="L96" s="60">
        <f>K96*100/D96</f>
        <v>14.671015275397798</v>
      </c>
      <c r="M96" s="59">
        <f>M81+M85+M89+M93</f>
        <v>0</v>
      </c>
      <c r="N96" s="59">
        <f>N81+N85+N89+N93</f>
        <v>2996554.87</v>
      </c>
      <c r="O96" s="60">
        <f>D96-G96-K96</f>
        <v>556382.34000000078</v>
      </c>
      <c r="P96" s="60">
        <f>O96*100/D96</f>
        <v>2.724026144430848</v>
      </c>
      <c r="Q96" s="59">
        <f>Q81+Q85+Q89+Q93</f>
        <v>0</v>
      </c>
      <c r="R96" s="61">
        <f>F96-J96-N96</f>
        <v>556382.34000000078</v>
      </c>
    </row>
    <row r="97" spans="1:18" s="3" customFormat="1" ht="18.95" customHeight="1" thickTop="1" x14ac:dyDescent="0.45">
      <c r="A97" s="43"/>
      <c r="B97" s="72"/>
      <c r="C97" s="73"/>
      <c r="D97" s="74"/>
      <c r="E97" s="75"/>
      <c r="F97" s="74"/>
      <c r="G97" s="76"/>
      <c r="H97" s="77"/>
      <c r="I97" s="76"/>
      <c r="J97" s="77"/>
      <c r="K97" s="76"/>
      <c r="L97" s="77"/>
      <c r="M97" s="76"/>
      <c r="N97" s="76"/>
      <c r="O97" s="77"/>
      <c r="P97" s="77"/>
      <c r="Q97" s="76"/>
      <c r="R97" s="78"/>
    </row>
    <row r="98" spans="1:18" s="3" customFormat="1" ht="18.95" customHeight="1" x14ac:dyDescent="0.45">
      <c r="A98" s="52"/>
      <c r="B98" s="36" t="s">
        <v>29</v>
      </c>
      <c r="C98" s="19"/>
      <c r="D98" s="20"/>
      <c r="E98" s="21"/>
      <c r="F98" s="20"/>
      <c r="G98" s="22"/>
      <c r="H98" s="14"/>
      <c r="I98" s="22"/>
      <c r="J98" s="14"/>
      <c r="K98" s="22"/>
      <c r="L98" s="14"/>
      <c r="M98" s="22"/>
      <c r="N98" s="22"/>
      <c r="O98" s="14"/>
      <c r="P98" s="14"/>
      <c r="Q98" s="22"/>
      <c r="R98" s="53"/>
    </row>
    <row r="99" spans="1:18" s="3" customFormat="1" ht="18.95" customHeight="1" x14ac:dyDescent="0.45">
      <c r="A99" s="54" t="s">
        <v>57</v>
      </c>
      <c r="B99" s="33" t="s">
        <v>30</v>
      </c>
      <c r="C99" s="91" t="s">
        <v>97</v>
      </c>
      <c r="D99" s="24">
        <f>F99+E99</f>
        <v>19463000</v>
      </c>
      <c r="E99" s="25"/>
      <c r="F99" s="24">
        <v>19463000</v>
      </c>
      <c r="G99" s="26">
        <f>J99+I99</f>
        <v>19059947.029999997</v>
      </c>
      <c r="H99" s="18">
        <f>G99*100/D99</f>
        <v>97.929132353696744</v>
      </c>
      <c r="I99" s="26"/>
      <c r="J99" s="26">
        <f>31545+248340+99280+433991.25+80765.2+83290.8+96108+480158.25+235990.6+2729545.5+79889.1+99660+482638.5+263271.8+253161.98+429000+163140+429000+113562+356458.5+234358.3+163140+57429+28000+1355801+163140+45835+534444.3+66051.7+200800+145725+922000+99850+316712.3-15782.5+151740+160140+492434.55+39115.8+98554.4+354776.15+158940+97457+922000+12000+489600+7485+152340+49985+487128.8+40809.7+99495+462384+39756.7+305972.1+156540+541380.2+31380+34152.4+226710-3154.5+255921.8+216810+10260+99380+225810+13426+186165.45+13248.9+58280+22770+491465+116220+228510+6257</f>
        <v>19059947.029999997</v>
      </c>
      <c r="K99" s="26">
        <f>N99+M99</f>
        <v>184206.40000000125</v>
      </c>
      <c r="L99" s="18">
        <f>K99*100/D99</f>
        <v>0.94644402199044975</v>
      </c>
      <c r="M99" s="26"/>
      <c r="N99" s="26">
        <f>1338158.25+100112.5+3002.7+3199801-4004.5-96108+76886.4-480158.25-79889.1+15000+48032.4+40045+576648+346525+80090+3800+34200-263271.8-429000-429000-234358.3-28000+4600+79857.6-1000-9000+4004.5-1355801-200800-145725-922000-316712.3-2000-4004.5-27930.6+60054+63054+6980+75293.3+232261+232261+87028.2+8400-354776.15-600.9-922000-305972.1+7760+18908+171205.2-4104.5+21016.2-57648.6+13500+11276.4+58554+21020.7+9060+66079.2-255921.8-99.55-3003.6-1493.7-400-200-116220+4640+10003.6-7203.6-220-200.9+52000+61917</f>
        <v>184206.40000000125</v>
      </c>
      <c r="O99" s="26">
        <f>D99-G99-K99</f>
        <v>218846.57000000129</v>
      </c>
      <c r="P99" s="26">
        <f>O99*100/D99</f>
        <v>1.1244236243128054</v>
      </c>
      <c r="Q99" s="26">
        <f>E99-I99-M99</f>
        <v>0</v>
      </c>
      <c r="R99" s="79">
        <f>F99-J99-N99</f>
        <v>218846.57000000129</v>
      </c>
    </row>
    <row r="100" spans="1:18" s="3" customFormat="1" ht="18.95" customHeight="1" x14ac:dyDescent="0.45">
      <c r="A100" s="54"/>
      <c r="B100" s="33" t="s">
        <v>31</v>
      </c>
      <c r="C100" s="38"/>
      <c r="D100" s="39"/>
      <c r="E100" s="40"/>
      <c r="F100" s="39"/>
      <c r="G100" s="41"/>
      <c r="H100" s="42"/>
      <c r="I100" s="41"/>
      <c r="J100" s="41"/>
      <c r="K100" s="41"/>
      <c r="L100" s="42"/>
      <c r="M100" s="41"/>
      <c r="N100" s="41"/>
      <c r="O100" s="41"/>
      <c r="P100" s="41"/>
      <c r="Q100" s="41"/>
      <c r="R100" s="80"/>
    </row>
    <row r="101" spans="1:18" s="3" customFormat="1" ht="18.95" customHeight="1" x14ac:dyDescent="0.45">
      <c r="A101" s="52"/>
      <c r="B101" s="81"/>
      <c r="C101" s="19"/>
      <c r="D101" s="20"/>
      <c r="E101" s="21"/>
      <c r="F101" s="20"/>
      <c r="G101" s="22"/>
      <c r="H101" s="14"/>
      <c r="I101" s="22"/>
      <c r="J101" s="14"/>
      <c r="K101" s="22"/>
      <c r="L101" s="14"/>
      <c r="M101" s="22"/>
      <c r="N101" s="22"/>
      <c r="O101" s="14"/>
      <c r="P101" s="14"/>
      <c r="Q101" s="22"/>
      <c r="R101" s="53"/>
    </row>
    <row r="102" spans="1:18" s="3" customFormat="1" ht="18.95" customHeight="1" x14ac:dyDescent="0.45">
      <c r="A102" s="52"/>
      <c r="B102" s="36" t="s">
        <v>45</v>
      </c>
      <c r="C102" s="19"/>
      <c r="D102" s="20"/>
      <c r="E102" s="21"/>
      <c r="F102" s="20"/>
      <c r="G102" s="22"/>
      <c r="H102" s="14"/>
      <c r="I102" s="22"/>
      <c r="J102" s="14"/>
      <c r="K102" s="22"/>
      <c r="L102" s="14"/>
      <c r="M102" s="22"/>
      <c r="N102" s="22"/>
      <c r="O102" s="14"/>
      <c r="P102" s="14"/>
      <c r="Q102" s="22"/>
      <c r="R102" s="53"/>
    </row>
    <row r="103" spans="1:18" s="3" customFormat="1" ht="18.95" customHeight="1" x14ac:dyDescent="0.45">
      <c r="A103" s="52">
        <v>1.23</v>
      </c>
      <c r="B103" s="33" t="s">
        <v>106</v>
      </c>
      <c r="C103" s="11" t="s">
        <v>111</v>
      </c>
      <c r="D103" s="12">
        <f>F103+E103</f>
        <v>249872</v>
      </c>
      <c r="E103" s="13"/>
      <c r="F103" s="12">
        <f>250000-128</f>
        <v>249872</v>
      </c>
      <c r="G103" s="2">
        <f>J103+I103</f>
        <v>249871.07</v>
      </c>
      <c r="H103" s="14">
        <f>G103*100/D103</f>
        <v>99.999627809438437</v>
      </c>
      <c r="I103" s="2"/>
      <c r="J103" s="2">
        <f>160352.4+39528.3+49990.37</f>
        <v>249871.07</v>
      </c>
      <c r="K103" s="2">
        <f>N103+M103</f>
        <v>0</v>
      </c>
      <c r="L103" s="14">
        <f>K103*100/D103</f>
        <v>0</v>
      </c>
      <c r="M103" s="2"/>
      <c r="N103" s="2">
        <f>89612-50083.7-39528.3</f>
        <v>0</v>
      </c>
      <c r="O103" s="2">
        <f>D103-G103-K103</f>
        <v>0.92999999999301508</v>
      </c>
      <c r="P103" s="2">
        <f>O103*100/D103</f>
        <v>3.7219056156472717E-4</v>
      </c>
      <c r="Q103" s="2">
        <f>E103-I103-M103</f>
        <v>0</v>
      </c>
      <c r="R103" s="55">
        <f>F103-J103-N103</f>
        <v>0.92999999999301508</v>
      </c>
    </row>
    <row r="104" spans="1:18" s="3" customFormat="1" ht="18.95" customHeight="1" x14ac:dyDescent="0.45">
      <c r="A104" s="52"/>
      <c r="B104" s="33" t="s">
        <v>69</v>
      </c>
      <c r="C104" s="11"/>
      <c r="D104" s="12"/>
      <c r="E104" s="13"/>
      <c r="F104" s="12"/>
      <c r="G104" s="2"/>
      <c r="H104" s="14"/>
      <c r="I104" s="2"/>
      <c r="J104" s="2"/>
      <c r="K104" s="2"/>
      <c r="L104" s="14"/>
      <c r="M104" s="2"/>
      <c r="N104" s="2"/>
      <c r="O104" s="2"/>
      <c r="P104" s="2"/>
      <c r="Q104" s="2"/>
      <c r="R104" s="55"/>
    </row>
    <row r="105" spans="1:18" s="3" customFormat="1" ht="18.95" customHeight="1" x14ac:dyDescent="0.45">
      <c r="A105" s="52"/>
      <c r="B105" s="81"/>
      <c r="C105" s="19"/>
      <c r="D105" s="20"/>
      <c r="E105" s="21"/>
      <c r="F105" s="20"/>
      <c r="G105" s="22"/>
      <c r="H105" s="14"/>
      <c r="I105" s="22"/>
      <c r="J105" s="14"/>
      <c r="K105" s="22"/>
      <c r="L105" s="14"/>
      <c r="M105" s="22"/>
      <c r="N105" s="22"/>
      <c r="O105" s="14"/>
      <c r="P105" s="14"/>
      <c r="Q105" s="22"/>
      <c r="R105" s="53"/>
    </row>
    <row r="106" spans="1:18" s="3" customFormat="1" ht="18.95" customHeight="1" x14ac:dyDescent="0.45">
      <c r="A106" s="52">
        <v>1.24</v>
      </c>
      <c r="B106" s="36" t="s">
        <v>46</v>
      </c>
      <c r="C106" s="19"/>
      <c r="D106" s="20"/>
      <c r="E106" s="21"/>
      <c r="F106" s="20"/>
      <c r="G106" s="22"/>
      <c r="H106" s="14"/>
      <c r="I106" s="22"/>
      <c r="J106" s="14"/>
      <c r="K106" s="22"/>
      <c r="L106" s="14"/>
      <c r="M106" s="22"/>
      <c r="N106" s="22"/>
      <c r="O106" s="14"/>
      <c r="P106" s="14"/>
      <c r="Q106" s="22"/>
      <c r="R106" s="53"/>
    </row>
    <row r="107" spans="1:18" s="3" customFormat="1" ht="18.95" customHeight="1" x14ac:dyDescent="0.45">
      <c r="A107" s="52"/>
      <c r="B107" s="33" t="s">
        <v>103</v>
      </c>
      <c r="C107" s="11" t="s">
        <v>111</v>
      </c>
      <c r="D107" s="12">
        <f>F107+E107</f>
        <v>149871</v>
      </c>
      <c r="E107" s="13"/>
      <c r="F107" s="12">
        <f>150000-129</f>
        <v>149871</v>
      </c>
      <c r="G107" s="2">
        <f>J107+I107</f>
        <v>149870.88</v>
      </c>
      <c r="H107" s="14">
        <f>G107*100/D107</f>
        <v>99.999919931140781</v>
      </c>
      <c r="I107" s="2"/>
      <c r="J107" s="2">
        <f>97172.6+22725.2+29973.08</f>
        <v>149870.88</v>
      </c>
      <c r="K107" s="2">
        <f>N107+M107</f>
        <v>0</v>
      </c>
      <c r="L107" s="14">
        <f>K107*100/D107</f>
        <v>0</v>
      </c>
      <c r="M107" s="2"/>
      <c r="N107" s="2">
        <f>52763-30037.8-22725.2</f>
        <v>0</v>
      </c>
      <c r="O107" s="2">
        <f>D107-G107-K107</f>
        <v>0.11999999999534339</v>
      </c>
      <c r="P107" s="2">
        <f>O107*100/D107</f>
        <v>8.0068859215821193E-5</v>
      </c>
      <c r="Q107" s="2">
        <f>E107-I107-M107</f>
        <v>0</v>
      </c>
      <c r="R107" s="55">
        <f>F107-J107-N107</f>
        <v>0.11999999999534339</v>
      </c>
    </row>
    <row r="108" spans="1:18" s="3" customFormat="1" ht="18.95" customHeight="1" x14ac:dyDescent="0.45">
      <c r="A108" s="52"/>
      <c r="B108" s="33" t="s">
        <v>104</v>
      </c>
      <c r="C108" s="11"/>
      <c r="D108" s="12"/>
      <c r="E108" s="13"/>
      <c r="F108" s="12"/>
      <c r="G108" s="2"/>
      <c r="H108" s="14"/>
      <c r="I108" s="2"/>
      <c r="J108" s="2"/>
      <c r="K108" s="2"/>
      <c r="L108" s="14"/>
      <c r="M108" s="2"/>
      <c r="N108" s="2"/>
      <c r="O108" s="2"/>
      <c r="P108" s="2"/>
      <c r="Q108" s="2"/>
      <c r="R108" s="55"/>
    </row>
    <row r="109" spans="1:18" s="3" customFormat="1" ht="18.95" customHeight="1" x14ac:dyDescent="0.45">
      <c r="A109" s="52"/>
      <c r="B109" s="33"/>
      <c r="C109" s="19"/>
      <c r="D109" s="20"/>
      <c r="E109" s="21"/>
      <c r="F109" s="20"/>
      <c r="G109" s="22"/>
      <c r="H109" s="14"/>
      <c r="I109" s="22"/>
      <c r="J109" s="14"/>
      <c r="K109" s="22"/>
      <c r="L109" s="14"/>
      <c r="M109" s="22"/>
      <c r="N109" s="22"/>
      <c r="O109" s="14"/>
      <c r="P109" s="14"/>
      <c r="Q109" s="22"/>
      <c r="R109" s="53"/>
    </row>
    <row r="110" spans="1:18" s="3" customFormat="1" ht="18.95" customHeight="1" x14ac:dyDescent="0.45">
      <c r="A110" s="52">
        <v>1.25</v>
      </c>
      <c r="B110" s="36" t="s">
        <v>47</v>
      </c>
      <c r="C110" s="19"/>
      <c r="D110" s="20"/>
      <c r="E110" s="21"/>
      <c r="F110" s="20"/>
      <c r="G110" s="22"/>
      <c r="H110" s="14"/>
      <c r="I110" s="22"/>
      <c r="J110" s="14"/>
      <c r="K110" s="22"/>
      <c r="L110" s="14"/>
      <c r="M110" s="22"/>
      <c r="N110" s="22"/>
      <c r="O110" s="14"/>
      <c r="P110" s="14"/>
      <c r="Q110" s="22"/>
      <c r="R110" s="53"/>
    </row>
    <row r="111" spans="1:18" s="3" customFormat="1" ht="18.95" customHeight="1" x14ac:dyDescent="0.45">
      <c r="A111" s="52"/>
      <c r="B111" s="33" t="s">
        <v>105</v>
      </c>
      <c r="C111" s="11" t="s">
        <v>112</v>
      </c>
      <c r="D111" s="12">
        <f>F111+E111</f>
        <v>199903</v>
      </c>
      <c r="E111" s="13"/>
      <c r="F111" s="12">
        <f>200000-97</f>
        <v>199903</v>
      </c>
      <c r="G111" s="2">
        <f>J111+I111</f>
        <v>199902.55</v>
      </c>
      <c r="H111" s="14">
        <f>G111*100/D111</f>
        <v>99.999774890822053</v>
      </c>
      <c r="I111" s="2"/>
      <c r="J111" s="2">
        <f>72868.95+37439.6+69394+20200</f>
        <v>199902.55</v>
      </c>
      <c r="K111" s="2">
        <f>N111+M111</f>
        <v>0</v>
      </c>
      <c r="L111" s="14">
        <f>K111*100/D111</f>
        <v>0</v>
      </c>
      <c r="M111" s="2"/>
      <c r="N111" s="2">
        <f>37439.6-37439.6</f>
        <v>0</v>
      </c>
      <c r="O111" s="2">
        <f>D111-G111-K111</f>
        <v>0.45000000001164153</v>
      </c>
      <c r="P111" s="2">
        <f>O111*100/D111</f>
        <v>2.2510917795712996E-4</v>
      </c>
      <c r="Q111" s="2">
        <f>E111-I111-M111</f>
        <v>0</v>
      </c>
      <c r="R111" s="55">
        <f>F111-J111-N111</f>
        <v>0.45000000001164153</v>
      </c>
    </row>
    <row r="112" spans="1:18" s="3" customFormat="1" ht="18.95" customHeight="1" x14ac:dyDescent="0.45">
      <c r="A112" s="52"/>
      <c r="B112" s="33" t="s">
        <v>101</v>
      </c>
      <c r="C112" s="19"/>
      <c r="D112" s="20"/>
      <c r="E112" s="21"/>
      <c r="F112" s="20"/>
      <c r="G112" s="22"/>
      <c r="H112" s="14"/>
      <c r="I112" s="22"/>
      <c r="J112" s="14"/>
      <c r="K112" s="22"/>
      <c r="L112" s="14"/>
      <c r="M112" s="22"/>
      <c r="N112" s="22"/>
      <c r="O112" s="14"/>
      <c r="P112" s="14"/>
      <c r="Q112" s="22"/>
      <c r="R112" s="53"/>
    </row>
    <row r="113" spans="1:18" s="3" customFormat="1" ht="18.95" customHeight="1" x14ac:dyDescent="0.45">
      <c r="A113" s="52"/>
      <c r="B113" s="33"/>
      <c r="C113" s="19"/>
      <c r="D113" s="20"/>
      <c r="E113" s="21"/>
      <c r="F113" s="20"/>
      <c r="G113" s="22"/>
      <c r="H113" s="14"/>
      <c r="I113" s="22"/>
      <c r="J113" s="14"/>
      <c r="K113" s="22"/>
      <c r="L113" s="14"/>
      <c r="M113" s="22"/>
      <c r="N113" s="22"/>
      <c r="O113" s="14"/>
      <c r="P113" s="14"/>
      <c r="Q113" s="22"/>
      <c r="R113" s="53"/>
    </row>
    <row r="114" spans="1:18" s="3" customFormat="1" ht="18.95" customHeight="1" x14ac:dyDescent="0.45">
      <c r="A114" s="52">
        <v>1.26</v>
      </c>
      <c r="B114" s="36" t="s">
        <v>48</v>
      </c>
      <c r="C114" s="19"/>
      <c r="D114" s="20"/>
      <c r="E114" s="21"/>
      <c r="F114" s="20"/>
      <c r="G114" s="22"/>
      <c r="H114" s="14"/>
      <c r="I114" s="22"/>
      <c r="J114" s="14"/>
      <c r="K114" s="22"/>
      <c r="L114" s="14"/>
      <c r="M114" s="22"/>
      <c r="N114" s="22"/>
      <c r="O114" s="14"/>
      <c r="P114" s="14"/>
      <c r="Q114" s="22"/>
      <c r="R114" s="53"/>
    </row>
    <row r="115" spans="1:18" s="3" customFormat="1" ht="18.95" customHeight="1" x14ac:dyDescent="0.45">
      <c r="A115" s="52"/>
      <c r="B115" s="33" t="s">
        <v>102</v>
      </c>
      <c r="C115" s="11" t="s">
        <v>112</v>
      </c>
      <c r="D115" s="12">
        <f>F115+E115</f>
        <v>99868</v>
      </c>
      <c r="E115" s="13"/>
      <c r="F115" s="12">
        <f>100000-132</f>
        <v>99868</v>
      </c>
      <c r="G115" s="2">
        <f>J115+I115</f>
        <v>99867.6</v>
      </c>
      <c r="H115" s="14">
        <f>G115*100/D115</f>
        <v>99.999599471302119</v>
      </c>
      <c r="I115" s="2"/>
      <c r="J115" s="2">
        <f>44737+52995.6+2135</f>
        <v>99867.6</v>
      </c>
      <c r="K115" s="2">
        <f>N115+M115</f>
        <v>0</v>
      </c>
      <c r="L115" s="14">
        <f>K115*100/D115</f>
        <v>0</v>
      </c>
      <c r="M115" s="2"/>
      <c r="N115" s="2"/>
      <c r="O115" s="2">
        <f>D115-G115-K115</f>
        <v>0.39999999999417923</v>
      </c>
      <c r="P115" s="2">
        <f>O115*100/D115</f>
        <v>4.0052869787537471E-4</v>
      </c>
      <c r="Q115" s="2">
        <f>E115-I115-M115</f>
        <v>0</v>
      </c>
      <c r="R115" s="55">
        <f>F115-J115-N115</f>
        <v>0.39999999999417923</v>
      </c>
    </row>
    <row r="116" spans="1:18" s="3" customFormat="1" ht="18.95" customHeight="1" x14ac:dyDescent="0.45">
      <c r="A116" s="52"/>
      <c r="B116" s="33" t="s">
        <v>101</v>
      </c>
      <c r="C116" s="19"/>
      <c r="D116" s="20"/>
      <c r="E116" s="21"/>
      <c r="F116" s="20"/>
      <c r="G116" s="22"/>
      <c r="H116" s="14"/>
      <c r="I116" s="22"/>
      <c r="J116" s="14"/>
      <c r="K116" s="22"/>
      <c r="L116" s="14"/>
      <c r="M116" s="22"/>
      <c r="N116" s="22"/>
      <c r="O116" s="14"/>
      <c r="P116" s="14"/>
      <c r="Q116" s="22"/>
      <c r="R116" s="53"/>
    </row>
    <row r="117" spans="1:18" s="3" customFormat="1" ht="18.95" customHeight="1" x14ac:dyDescent="0.45">
      <c r="A117" s="52"/>
      <c r="B117" s="33"/>
      <c r="C117" s="19"/>
      <c r="D117" s="20"/>
      <c r="E117" s="21"/>
      <c r="F117" s="20"/>
      <c r="G117" s="22"/>
      <c r="H117" s="14"/>
      <c r="I117" s="22"/>
      <c r="J117" s="14"/>
      <c r="K117" s="22"/>
      <c r="L117" s="14"/>
      <c r="M117" s="22"/>
      <c r="N117" s="22"/>
      <c r="O117" s="14"/>
      <c r="P117" s="14"/>
      <c r="Q117" s="22"/>
      <c r="R117" s="53"/>
    </row>
    <row r="118" spans="1:18" s="3" customFormat="1" ht="18.95" customHeight="1" x14ac:dyDescent="0.45">
      <c r="A118" s="52">
        <v>1.27</v>
      </c>
      <c r="B118" s="36" t="s">
        <v>49</v>
      </c>
      <c r="C118" s="19"/>
      <c r="D118" s="20"/>
      <c r="E118" s="21"/>
      <c r="F118" s="20"/>
      <c r="G118" s="22"/>
      <c r="H118" s="14"/>
      <c r="I118" s="22"/>
      <c r="J118" s="14"/>
      <c r="K118" s="22"/>
      <c r="L118" s="14"/>
      <c r="M118" s="22"/>
      <c r="N118" s="22"/>
      <c r="O118" s="14"/>
      <c r="P118" s="14"/>
      <c r="Q118" s="22"/>
      <c r="R118" s="53"/>
    </row>
    <row r="119" spans="1:18" s="3" customFormat="1" ht="18.95" customHeight="1" x14ac:dyDescent="0.45">
      <c r="A119" s="52"/>
      <c r="B119" s="33" t="s">
        <v>100</v>
      </c>
      <c r="C119" s="11" t="s">
        <v>112</v>
      </c>
      <c r="D119" s="12">
        <f>F119+E119</f>
        <v>149877</v>
      </c>
      <c r="E119" s="13"/>
      <c r="F119" s="12">
        <f>150000-123</f>
        <v>149877</v>
      </c>
      <c r="G119" s="2">
        <f>J119+I119</f>
        <v>149876.59999999998</v>
      </c>
      <c r="H119" s="14">
        <f>G119*100/D119</f>
        <v>99.999733114487199</v>
      </c>
      <c r="I119" s="2"/>
      <c r="J119" s="2">
        <f>26950+79493.4+40443.2+2990</f>
        <v>149876.59999999998</v>
      </c>
      <c r="K119" s="2">
        <f>N119+M119</f>
        <v>0</v>
      </c>
      <c r="L119" s="14">
        <f>K119*100/D119</f>
        <v>0</v>
      </c>
      <c r="M119" s="2"/>
      <c r="N119" s="2">
        <f>40443.2-40443.2</f>
        <v>0</v>
      </c>
      <c r="O119" s="2">
        <f>D119-G119-K119</f>
        <v>0.40000000002328306</v>
      </c>
      <c r="P119" s="2">
        <f>O119*100/D119</f>
        <v>2.6688551280268689E-4</v>
      </c>
      <c r="Q119" s="2">
        <f>E119-I119-M119</f>
        <v>0</v>
      </c>
      <c r="R119" s="55">
        <f>F119-J119-N119</f>
        <v>0.40000000002328306</v>
      </c>
    </row>
    <row r="120" spans="1:18" s="3" customFormat="1" ht="18.95" customHeight="1" x14ac:dyDescent="0.45">
      <c r="A120" s="52"/>
      <c r="B120" s="33" t="s">
        <v>101</v>
      </c>
      <c r="C120" s="11"/>
      <c r="D120" s="12"/>
      <c r="E120" s="13"/>
      <c r="F120" s="12"/>
      <c r="G120" s="2"/>
      <c r="H120" s="14"/>
      <c r="I120" s="2"/>
      <c r="J120" s="2"/>
      <c r="K120" s="2"/>
      <c r="L120" s="14"/>
      <c r="M120" s="2"/>
      <c r="N120" s="2"/>
      <c r="O120" s="2"/>
      <c r="P120" s="2"/>
      <c r="Q120" s="2"/>
      <c r="R120" s="55"/>
    </row>
    <row r="121" spans="1:18" s="3" customFormat="1" ht="18.95" customHeight="1" x14ac:dyDescent="0.45">
      <c r="A121" s="52"/>
      <c r="B121" s="81"/>
      <c r="C121" s="19"/>
      <c r="D121" s="20"/>
      <c r="E121" s="21"/>
      <c r="F121" s="20"/>
      <c r="G121" s="22"/>
      <c r="H121" s="14"/>
      <c r="I121" s="22"/>
      <c r="J121" s="14"/>
      <c r="K121" s="22"/>
      <c r="L121" s="14"/>
      <c r="M121" s="22"/>
      <c r="N121" s="22"/>
      <c r="O121" s="14"/>
      <c r="P121" s="14"/>
      <c r="Q121" s="22"/>
      <c r="R121" s="53"/>
    </row>
    <row r="122" spans="1:18" s="3" customFormat="1" ht="18.95" customHeight="1" thickBot="1" x14ac:dyDescent="0.5">
      <c r="A122" s="83" t="s">
        <v>16</v>
      </c>
      <c r="B122" s="84"/>
      <c r="C122" s="84"/>
      <c r="D122" s="57">
        <f>F122+E122</f>
        <v>849391</v>
      </c>
      <c r="E122" s="58"/>
      <c r="F122" s="57">
        <f>F103+F107+F111+F115+F119</f>
        <v>849391</v>
      </c>
      <c r="G122" s="59">
        <f>J122+I122</f>
        <v>849388.7</v>
      </c>
      <c r="H122" s="60">
        <f>G122*100/D122</f>
        <v>99.999729217757192</v>
      </c>
      <c r="I122" s="59"/>
      <c r="J122" s="60">
        <f>J103+J107+J111+J115+J119</f>
        <v>849388.7</v>
      </c>
      <c r="K122" s="59">
        <f>N122+M122</f>
        <v>0</v>
      </c>
      <c r="L122" s="60">
        <f>K122*100/D122</f>
        <v>0</v>
      </c>
      <c r="M122" s="59"/>
      <c r="N122" s="59">
        <f>N103+N107+N111+N115+N119</f>
        <v>0</v>
      </c>
      <c r="O122" s="60">
        <f>D122-G122-K122</f>
        <v>2.3000000000465661</v>
      </c>
      <c r="P122" s="60">
        <f>O122*100/D122</f>
        <v>2.707822428123875E-4</v>
      </c>
      <c r="Q122" s="59">
        <f>Q99+Q103+Q107+Q111+Q115+Q119</f>
        <v>0</v>
      </c>
      <c r="R122" s="61">
        <f>F122-J122-N122</f>
        <v>2.3000000000465661</v>
      </c>
    </row>
    <row r="123" spans="1:18" ht="19.5" thickTop="1" x14ac:dyDescent="0.45"/>
  </sheetData>
  <mergeCells count="11">
    <mergeCell ref="A56:C56"/>
    <mergeCell ref="A78:C78"/>
    <mergeCell ref="A122:C122"/>
    <mergeCell ref="A1:R1"/>
    <mergeCell ref="A2:A3"/>
    <mergeCell ref="B2:B3"/>
    <mergeCell ref="D2:F2"/>
    <mergeCell ref="G2:J2"/>
    <mergeCell ref="K2:N2"/>
    <mergeCell ref="O2:R2"/>
    <mergeCell ref="A96:C96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rowBreaks count="2" manualBreakCount="2">
    <brk id="34" max="16383" man="1"/>
    <brk id="65" max="16383" man="1"/>
  </rowBreaks>
  <colBreaks count="1" manualBreakCount="1">
    <brk id="18" max="1048575" man="1"/>
  </colBreaks>
  <ignoredErrors>
    <ignoredError sqref="C8 C12 C16 C20 C24 C28 C32 C36 C40 C44 C89 C93 C99 C103 C107 C111 C115 C1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pane ySplit="4" topLeftCell="A5" activePane="bottomLeft" state="frozen"/>
      <selection pane="bottomLeft" activeCell="A2" sqref="A2:A3"/>
    </sheetView>
  </sheetViews>
  <sheetFormatPr defaultRowHeight="18.75" x14ac:dyDescent="0.45"/>
  <cols>
    <col min="1" max="1" width="4.7109375" style="1" customWidth="1"/>
    <col min="2" max="2" width="33.7109375" style="37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4" customFormat="1" ht="24" customHeight="1" x14ac:dyDescent="0.2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8.95" customHeight="1" x14ac:dyDescent="0.45">
      <c r="A2" s="86" t="s">
        <v>0</v>
      </c>
      <c r="B2" s="86" t="s">
        <v>1</v>
      </c>
      <c r="C2" s="28" t="s">
        <v>61</v>
      </c>
      <c r="D2" s="87" t="s">
        <v>2</v>
      </c>
      <c r="E2" s="87"/>
      <c r="F2" s="87"/>
      <c r="G2" s="87" t="s">
        <v>6</v>
      </c>
      <c r="H2" s="87"/>
      <c r="I2" s="87"/>
      <c r="J2" s="87"/>
      <c r="K2" s="87" t="s">
        <v>8</v>
      </c>
      <c r="L2" s="87"/>
      <c r="M2" s="87"/>
      <c r="N2" s="87"/>
      <c r="O2" s="87" t="s">
        <v>9</v>
      </c>
      <c r="P2" s="87"/>
      <c r="Q2" s="87"/>
      <c r="R2" s="87"/>
    </row>
    <row r="3" spans="1:18" ht="18.95" customHeight="1" x14ac:dyDescent="0.45">
      <c r="A3" s="86"/>
      <c r="B3" s="86"/>
      <c r="C3" s="29" t="s">
        <v>62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2" customFormat="1" ht="18.95" customHeight="1" x14ac:dyDescent="0.45">
      <c r="A4" s="30"/>
      <c r="B4" s="5" t="s">
        <v>52</v>
      </c>
      <c r="C4" s="31"/>
      <c r="D4" s="6">
        <f>E4+F4</f>
        <v>30000000</v>
      </c>
      <c r="E4" s="7">
        <f>SUM(E11)</f>
        <v>0</v>
      </c>
      <c r="F4" s="7">
        <f>SUM(F11)</f>
        <v>30000000</v>
      </c>
      <c r="G4" s="8">
        <f>I4+J4</f>
        <v>22816797.489999998</v>
      </c>
      <c r="H4" s="8">
        <f>G4*100/D4</f>
        <v>76.055991633333335</v>
      </c>
      <c r="I4" s="7">
        <f>SUM(I11)</f>
        <v>0</v>
      </c>
      <c r="J4" s="7">
        <f>SUM(J11)</f>
        <v>22816797.489999998</v>
      </c>
      <c r="K4" s="8">
        <f>M4+N4</f>
        <v>3153706.8400000017</v>
      </c>
      <c r="L4" s="8">
        <f>K4*100/D4</f>
        <v>10.51235613333334</v>
      </c>
      <c r="M4" s="7">
        <f>SUM(M11)</f>
        <v>0</v>
      </c>
      <c r="N4" s="7">
        <f>SUM(N11)</f>
        <v>3153706.8400000017</v>
      </c>
      <c r="O4" s="7">
        <f>Q4+R4</f>
        <v>4029495.67</v>
      </c>
      <c r="P4" s="7">
        <f>O4*100/D4</f>
        <v>13.431652233333333</v>
      </c>
      <c r="Q4" s="7">
        <f>SUM(Q11)</f>
        <v>0</v>
      </c>
      <c r="R4" s="7">
        <f>SUM(R11)</f>
        <v>4029495.67</v>
      </c>
    </row>
    <row r="5" spans="1:18" ht="18.95" customHeight="1" x14ac:dyDescent="0.45">
      <c r="A5" s="66">
        <v>1</v>
      </c>
      <c r="B5" s="82" t="s">
        <v>50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7"/>
    </row>
    <row r="6" spans="1:18" ht="18.95" customHeight="1" x14ac:dyDescent="0.45">
      <c r="A6" s="52"/>
      <c r="B6" s="6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8"/>
    </row>
    <row r="7" spans="1:18" ht="18.95" customHeight="1" x14ac:dyDescent="0.45">
      <c r="A7" s="52"/>
      <c r="B7" s="9" t="s">
        <v>51</v>
      </c>
      <c r="C7" s="15"/>
      <c r="D7" s="16"/>
      <c r="E7" s="15"/>
      <c r="F7" s="16"/>
      <c r="G7" s="15"/>
      <c r="H7" s="19"/>
      <c r="I7" s="15"/>
      <c r="J7" s="65"/>
      <c r="K7" s="15"/>
      <c r="L7" s="15"/>
      <c r="M7" s="15"/>
      <c r="N7" s="15"/>
      <c r="O7" s="15"/>
      <c r="P7" s="15"/>
      <c r="Q7" s="15"/>
      <c r="R7" s="69"/>
    </row>
    <row r="8" spans="1:18" ht="18.95" customHeight="1" x14ac:dyDescent="0.45">
      <c r="A8" s="52">
        <v>1.1000000000000001</v>
      </c>
      <c r="B8" s="15" t="s">
        <v>107</v>
      </c>
      <c r="C8" s="11" t="s">
        <v>114</v>
      </c>
      <c r="D8" s="12">
        <f>F8+E8</f>
        <v>30000000</v>
      </c>
      <c r="E8" s="13"/>
      <c r="F8" s="12">
        <v>30000000</v>
      </c>
      <c r="G8" s="92">
        <f>I8+J8</f>
        <v>22816797.489999998</v>
      </c>
      <c r="H8" s="92">
        <f>G8*100/D8</f>
        <v>76.055991633333335</v>
      </c>
      <c r="I8" s="92"/>
      <c r="J8" s="92">
        <f>130596.3+34068.6+296000+488560+156540+19347.35+6096+150540+644887+2320+408038.5+87076.2+153540+74797.15+396975+1218280+79819.85+207214.6+72164.6+151140+531778.25+991599.35+57662.3+226710+6940.9+1639640+948845+146940+461244.7+40040.5+144540+30780+98360+328257+31380+150540+76524.5+468700+150540+225810+3248808.55+752842+165611.25+854907.5+260877.15+74911.5+150540+1218280+60675+883960+152340+648317.95+225810+228510+27330+99365.55+296280+66124+154740+1494040+62953.39+154740</f>
        <v>22816797.489999998</v>
      </c>
      <c r="K8" s="92">
        <f>M8+N8</f>
        <v>3153706.8400000017</v>
      </c>
      <c r="L8" s="92">
        <f>K8*100/D8</f>
        <v>10.51235613333334</v>
      </c>
      <c r="M8" s="92"/>
      <c r="N8" s="92">
        <f>4076200+3195727+1058057+22500+8000+48054+307146+44049.5+96108+32036+122563.5-1218280-207214.6+64848.6+172929.6-8611.7-12021.6+48054+80090-72164.6-18099.6+7760+9207.2+1501.8+2680-531778.25+702000-1639640+592560+3620+204520-948845+18000+124344.9+9060+65563.45+210225+64572.9+36000+97500+116130.5-461244.7-40040.5+76591.8-752842-2401.8-2040+193224.7-1218280+216202.5+3050.4+164202.95-648317.95-296280-66124+28522.95+8180-1364-39626.1-46051.75-80-65921.6-92492.7-96.4-24808.1-502.25-220+34528.79+8491-86739+53900+82170+12000+16325-1494040+96382+151740+25000+329479+8275</f>
        <v>3153706.8400000017</v>
      </c>
      <c r="O8" s="92">
        <f>D8-G8-K8</f>
        <v>4029495.67</v>
      </c>
      <c r="P8" s="92">
        <f>O8*100/D8</f>
        <v>13.431652233333333</v>
      </c>
      <c r="Q8" s="92">
        <f>E8-I8-M8</f>
        <v>0</v>
      </c>
      <c r="R8" s="93">
        <f>F8-J8-N8</f>
        <v>4029495.67</v>
      </c>
    </row>
    <row r="9" spans="1:18" ht="18.95" customHeight="1" x14ac:dyDescent="0.45">
      <c r="A9" s="52"/>
      <c r="B9" s="10" t="s">
        <v>108</v>
      </c>
      <c r="C9" s="15"/>
      <c r="D9" s="16"/>
      <c r="E9" s="15"/>
      <c r="F9" s="16"/>
      <c r="G9" s="15"/>
      <c r="H9" s="15"/>
      <c r="I9" s="15"/>
      <c r="J9" s="65"/>
      <c r="K9" s="15"/>
      <c r="L9" s="15"/>
      <c r="M9" s="15"/>
      <c r="N9" s="15"/>
      <c r="O9" s="15"/>
      <c r="P9" s="15"/>
      <c r="Q9" s="15"/>
      <c r="R9" s="69"/>
    </row>
    <row r="10" spans="1:18" ht="18.95" customHeight="1" x14ac:dyDescent="0.45">
      <c r="A10" s="52"/>
      <c r="B10" s="33"/>
      <c r="C10" s="15"/>
      <c r="D10" s="16"/>
      <c r="E10" s="15"/>
      <c r="F10" s="16"/>
      <c r="G10" s="15"/>
      <c r="H10" s="15"/>
      <c r="I10" s="15"/>
      <c r="J10" s="2"/>
      <c r="K10" s="15"/>
      <c r="L10" s="15"/>
      <c r="M10" s="15"/>
      <c r="N10" s="15"/>
      <c r="O10" s="15"/>
      <c r="P10" s="15"/>
      <c r="Q10" s="15"/>
      <c r="R10" s="68"/>
    </row>
    <row r="11" spans="1:18" ht="18.95" customHeight="1" thickBot="1" x14ac:dyDescent="0.5">
      <c r="A11" s="83" t="s">
        <v>109</v>
      </c>
      <c r="B11" s="84"/>
      <c r="C11" s="84"/>
      <c r="D11" s="57">
        <f>F11+E11</f>
        <v>30000000</v>
      </c>
      <c r="E11" s="58">
        <f>E8</f>
        <v>0</v>
      </c>
      <c r="F11" s="57">
        <f>F8</f>
        <v>30000000</v>
      </c>
      <c r="G11" s="59">
        <f>J11+I11</f>
        <v>22816797.489999998</v>
      </c>
      <c r="H11" s="60">
        <f>G11*100/D11</f>
        <v>76.055991633333335</v>
      </c>
      <c r="I11" s="59">
        <f>I8</f>
        <v>0</v>
      </c>
      <c r="J11" s="60">
        <f>J8</f>
        <v>22816797.489999998</v>
      </c>
      <c r="K11" s="59">
        <f>N11+M11</f>
        <v>3153706.8400000017</v>
      </c>
      <c r="L11" s="60">
        <f>K11*100/D11</f>
        <v>10.51235613333334</v>
      </c>
      <c r="M11" s="59">
        <f>M8</f>
        <v>0</v>
      </c>
      <c r="N11" s="59">
        <f>N8</f>
        <v>3153706.8400000017</v>
      </c>
      <c r="O11" s="60">
        <f>D11-G11-K11</f>
        <v>4029495.67</v>
      </c>
      <c r="P11" s="60">
        <f>O11*100/D11</f>
        <v>13.431652233333333</v>
      </c>
      <c r="Q11" s="59">
        <f>Q8</f>
        <v>0</v>
      </c>
      <c r="R11" s="61">
        <f>F11-J11-N11</f>
        <v>4029495.67</v>
      </c>
    </row>
    <row r="12" spans="1:18" ht="19.5" thickTop="1" x14ac:dyDescent="0.45"/>
  </sheetData>
  <mergeCells count="8">
    <mergeCell ref="A11:C11"/>
    <mergeCell ref="A1:R1"/>
    <mergeCell ref="A2:A3"/>
    <mergeCell ref="B2:B3"/>
    <mergeCell ref="D2:F2"/>
    <mergeCell ref="G2:J2"/>
    <mergeCell ref="K2:N2"/>
    <mergeCell ref="O2:R2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colBreaks count="1" manualBreakCount="1">
    <brk id="18" max="1048575" man="1"/>
  </colBreaks>
  <ignoredErrors>
    <ignoredError sqref="C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งบลงทุน (ปี 60)</vt:lpstr>
      <vt:lpstr>งบจังหวัด (30 ล้าน)</vt:lpstr>
      <vt:lpstr>'งบจังหวัด (30 ล้าน)'!Print_Area</vt:lpstr>
      <vt:lpstr>'งบลงทุน (ปี 60)'!Print_Area</vt:lpstr>
      <vt:lpstr>'งบจังหวัด (30 ล้าน)'!Print_Titles</vt:lpstr>
      <vt:lpstr>'งบลงทุน (ปี 60)'!Print_Titles</vt:lpstr>
    </vt:vector>
  </TitlesOfParts>
  <Company>TKD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ITHARN</cp:lastModifiedBy>
  <cp:lastPrinted>2017-09-04T12:16:18Z</cp:lastPrinted>
  <dcterms:created xsi:type="dcterms:W3CDTF">2009-12-25T03:29:35Z</dcterms:created>
  <dcterms:modified xsi:type="dcterms:W3CDTF">2017-09-04T15:32:03Z</dcterms:modified>
</cp:coreProperties>
</file>