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<sst xmlns="http://schemas.openxmlformats.org/spreadsheetml/2006/main" count="415" uniqueCount="205">
  <si>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</si>
  <si>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</si>
  <si>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</si>
  <si>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</si>
  <si>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</si>
  <si>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</si>
  <si>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</si>
  <si>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</si>
  <si>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</si>
  <si>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</si>
  <si>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</si>
  <si>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</si>
  <si>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</si>
  <si>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</si>
  <si>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</si>
  <si>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</si>
  <si>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</si>
  <si>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</si>
  <si>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</si>
  <si>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</si>
  <si>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</si>
  <si>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</si>
  <si>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</si>
  <si>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</si>
  <si>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</si>
  <si>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</si>
  <si>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</si>
  <si>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</si>
  <si>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</si>
  <si>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</si>
  <si>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</si>
  <si>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</si>
  <si>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</si>
  <si>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</si>
  <si>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</si>
  <si>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</si>
  <si>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</si>
  <si>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</si>
  <si>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</si>
  <si>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</si>
  <si>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</si>
  <si>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</si>
  <si>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</si>
  <si>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</si>
  <si>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</si>
  <si>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</si>
  <si>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</si>
  <si>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</si>
  <si>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</si>
  <si>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</si>
  <si>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</si>
  <si>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</si>
  <si>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</si>
  <si>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</si>
  <si>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</si>
  <si>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</si>
  <si>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</si>
  <si>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</si>
  <si>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</si>
  <si>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</si>
  <si>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</si>
  <si>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</si>
  <si>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</si>
  <si>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</si>
  <si>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</si>
  <si>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</si>
  <si>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</si>
  <si>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</si>
  <si>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</si>
  <si>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</si>
  <si>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</si>
  <si>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</si>
  <si>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</si>
  <si>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</si>
  <si>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</si>
  <si>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</si>
  <si>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</si>
  <si>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</si>
  <si>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</si>
  <si>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</si>
  <si>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</si>
  <si>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</si>
  <si>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</si>
  <si>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</si>
  <si>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</si>
  <si>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</si>
  <si>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</si>
  <si>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</si>
  <si>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</si>
  <si>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</si>
  <si>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</si>
  <si>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</si>
  <si>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</si>
  <si>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</si>
  <si>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</si>
  <si>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</si>
  <si>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</si>
  <si>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</si>
  <si>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</si>
  <si>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</si>
  <si>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</si>
  <si>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</si>
  <si>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</si>
  <si>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</si>
  <si>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</si>
  <si>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</si>
  <si>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</si>
  <si>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</si>
  <si>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</si>
  <si>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</si>
  <si>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</si>
  <si>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</si>
  <si>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</si>
  <si>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</si>
  <si>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</si>
  <si>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</si>
  <si>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</si>
  <si>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</si>
  <si>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</si>
  <si>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</si>
  <si>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</si>
  <si>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</si>
  <si>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</si>
  <si>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</si>
  <si>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</si>
  <si>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</si>
  <si>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</si>
  <si>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</si>
  <si>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</si>
  <si>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</si>
  <si>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</si>
  <si>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</si>
  <si>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</si>
  <si>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</si>
  <si>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</si>
  <si>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</si>
  <si>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</si>
  <si>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</si>
  <si>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</si>
  <si>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</si>
  <si>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</si>
  <si>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</si>
  <si>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</si>
  <si>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</si>
  <si>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</si>
  <si>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</si>
  <si>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</si>
  <si>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</si>
  <si>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</si>
  <si>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</si>
  <si>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</si>
  <si>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</si>
  <si>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</si>
  <si>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</si>
  <si>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</si>
  <si>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</si>
  <si>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</si>
  <si>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</si>
  <si>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</si>
  <si>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</si>
  <si>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</si>
  <si>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</si>
  <si>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</si>
  <si>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</si>
  <si>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</si>
  <si>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</si>
  <si>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</si>
  <si>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</si>
  <si>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</si>
  <si>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</si>
  <si>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</si>
  <si>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</si>
  <si>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</si>
  <si>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</si>
  <si>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</si>
  <si>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</si>
  <si>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</si>
  <si>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</si>
  <si>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</si>
  <si>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</si>
  <si>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</si>
  <si>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</si>
  <si>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</si>
  <si>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</si>
  <si>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</si>
  <si>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</si>
  <si>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</si>
  <si>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</si>
  <si>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</si>
  <si>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</si>
  <si>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</si>
  <si>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</si>
  <si>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</si>
  <si>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</si>
  <si>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</si>
  <si>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</si>
  <si>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</si>
  <si>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</si>
  <si>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</si>
  <si>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</si>
  <si>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</si>
  <si>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</si>
  <si>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</si>
  <si>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</si>
  <si>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26  ม.ค.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</si>
</sst>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3" t="s">
        <v>78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95" activePane="bottomLeft" state="frozen"/>
      <selection pane="topLeft" activeCell="A1" sqref="A1"/>
      <selection pane="bottomLeft" activeCell="N102" sqref="N102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7" t="s">
        <v>204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09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0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134291100</v>
      </c>
      <c r="E4" s="113">
        <f>SUM(E61+E98+E104+E118)</f>
        <v>2896900</v>
      </c>
      <c r="F4" s="113">
        <f>SUM(F61+F98+F104+F118)</f>
        <v>131394200</v>
      </c>
      <c r="G4" s="115">
        <f>I4+J4</f>
        <v>21354188.220000003</v>
      </c>
      <c r="H4" s="115">
        <f>G4*100/D4</f>
        <v>15.901417309114306</v>
      </c>
      <c r="I4" s="113">
        <f>SUM(I61+I98+I104+I118)</f>
        <v>0</v>
      </c>
      <c r="J4" s="113">
        <f>SUM(J61+J98+J104+J118)</f>
        <v>21354188.220000003</v>
      </c>
      <c r="K4" s="115">
        <f>M4+N4</f>
        <v>18845773.75</v>
      </c>
      <c r="L4" s="115">
        <f>K4*100/D4</f>
        <v>14.033524001218249</v>
      </c>
      <c r="M4" s="113">
        <f>SUM(M61+M98+M104+M118)</f>
        <v>0</v>
      </c>
      <c r="N4" s="113">
        <f>SUM(N61+N98+N104+N118)</f>
        <v>18845773.75</v>
      </c>
      <c r="O4" s="113">
        <f>Q4+R4</f>
        <v>94091138.03000002</v>
      </c>
      <c r="P4" s="113">
        <f>O4*100/D4</f>
        <v>70.06505868966747</v>
      </c>
      <c r="Q4" s="113">
        <f>SUM(Q61+Q98+Q104+Q118)</f>
        <v>2896900</v>
      </c>
      <c r="R4" s="113">
        <f>SUM(R61+R98+R104+R118)</f>
        <v>91194238.03000002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899711.8500000001</v>
      </c>
      <c r="H10" s="99">
        <f>G10*100/D10</f>
        <v>18.11707073961459</v>
      </c>
      <c r="I10" s="91"/>
      <c r="J10" s="92">
        <f>264457.9+145758.9+272283.3+19873.35+13248.9+55000+66067.5+63022</f>
        <v>899711.8500000001</v>
      </c>
      <c r="K10" s="91">
        <f>N10+M10</f>
        <v>82861</v>
      </c>
      <c r="L10" s="116">
        <f>K10*100/D10</f>
        <v>1.6685326513763314</v>
      </c>
      <c r="M10" s="91"/>
      <c r="N10" s="91">
        <f>66067.5+63063-66067.5+19798</f>
        <v>82861</v>
      </c>
      <c r="O10" s="91">
        <f>D10-G10-K10</f>
        <v>3983527.15</v>
      </c>
      <c r="P10" s="92">
        <f>O10*100/D10</f>
        <v>80.21439660900909</v>
      </c>
      <c r="Q10" s="91">
        <f>E10-I10-M10</f>
        <v>0</v>
      </c>
      <c r="R10" s="92">
        <f>F10-J10-N10</f>
        <v>3983527.15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70440.84</v>
      </c>
      <c r="H15" s="99">
        <f>G15*100/D15</f>
        <v>7.044084</v>
      </c>
      <c r="I15" s="91"/>
      <c r="J15" s="92">
        <f>27908.74+14782.1+8760+18990</f>
        <v>70440.84</v>
      </c>
      <c r="K15" s="91">
        <f>N15+M15</f>
        <v>0</v>
      </c>
      <c r="L15" s="116">
        <f>K15*100/D15</f>
        <v>0</v>
      </c>
      <c r="M15" s="91"/>
      <c r="N15" s="91"/>
      <c r="O15" s="92">
        <f>D15-G15-K15</f>
        <v>929559.16</v>
      </c>
      <c r="P15" s="92">
        <f>O15*100/D15</f>
        <v>92.955916</v>
      </c>
      <c r="Q15" s="92">
        <f>E15-I15-M15</f>
        <v>400000</v>
      </c>
      <c r="R15" s="91">
        <f>F15-J15-N15</f>
        <v>529559.16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578950.45</v>
      </c>
      <c r="H18" s="99">
        <f>G18*100/D18</f>
        <v>57.895044999999996</v>
      </c>
      <c r="I18" s="91"/>
      <c r="J18" s="92">
        <f>83290.8+21632.4+132720+68442+27898+98865+112981.05+21811.2+11310</f>
        <v>578950.45</v>
      </c>
      <c r="K18" s="91">
        <f>N18+M18</f>
        <v>189522.63999999998</v>
      </c>
      <c r="L18" s="116">
        <f>K18*100/D18</f>
        <v>18.952264</v>
      </c>
      <c r="M18" s="91"/>
      <c r="N18" s="91">
        <f>21811.2+164725.84+15000+9796.8-21811.2</f>
        <v>189522.63999999998</v>
      </c>
      <c r="O18" s="92">
        <f>D18-G18-K18</f>
        <v>231526.91000000006</v>
      </c>
      <c r="P18" s="92">
        <f>O18*100/D18</f>
        <v>23.152691000000008</v>
      </c>
      <c r="Q18" s="92">
        <f>E18-I18-M18</f>
        <v>0</v>
      </c>
      <c r="R18" s="92">
        <f>F18-J18-N18</f>
        <v>231526.91000000006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181927.1</v>
      </c>
      <c r="H22" s="99">
        <f>G22*100/D22</f>
        <v>36.38542</v>
      </c>
      <c r="I22" s="91"/>
      <c r="J22" s="92">
        <f>3479+35900+7652.6+15000+7305.3+90000+16425.2+6165</f>
        <v>181927.1</v>
      </c>
      <c r="K22" s="92">
        <f>N22+M22</f>
        <v>89426.6</v>
      </c>
      <c r="L22" s="116">
        <f>K22*100/D22</f>
        <v>17.88532</v>
      </c>
      <c r="M22" s="91"/>
      <c r="N22" s="92">
        <f>29000-15000+2425.2+39000-16425.2+15566.6+34860</f>
        <v>89426.6</v>
      </c>
      <c r="O22" s="92">
        <f>D22-G22-K22</f>
        <v>228646.30000000002</v>
      </c>
      <c r="P22" s="92">
        <f>O22*100/D22</f>
        <v>45.72926</v>
      </c>
      <c r="Q22" s="92">
        <f>E22-I22-M22</f>
        <v>0</v>
      </c>
      <c r="R22" s="92">
        <f>F22-J22-N22</f>
        <v>228646.30000000002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631511.75</v>
      </c>
      <c r="H26" s="99">
        <f>G26*100/D26</f>
        <v>37.14775</v>
      </c>
      <c r="I26" s="91"/>
      <c r="J26" s="92">
        <f>6958+98462+53980+10382+70832.4+9162.41+15120+90465+10561.44+3360+66244.5+9621+99700+53980+14320+4463+13900</f>
        <v>631511.75</v>
      </c>
      <c r="K26" s="91">
        <f>N26+M26</f>
        <v>610358</v>
      </c>
      <c r="L26" s="116">
        <f>K26*100/D26</f>
        <v>35.90341176470588</v>
      </c>
      <c r="M26" s="91"/>
      <c r="N26" s="91">
        <f>22380+7060+429250-15120+60000+10000-14320+111108</f>
        <v>610358</v>
      </c>
      <c r="O26" s="92">
        <f>D26-G26-K26</f>
        <v>458130.25</v>
      </c>
      <c r="P26" s="92">
        <f>O26*100/D26</f>
        <v>26.94883823529412</v>
      </c>
      <c r="Q26" s="92">
        <f>E26-I26-M26</f>
        <v>0</v>
      </c>
      <c r="R26" s="92">
        <f>F26-J26-N26</f>
        <v>458130.25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690216.76</v>
      </c>
      <c r="H30" s="99">
        <f>G30*100/D30</f>
        <v>46.01445066666667</v>
      </c>
      <c r="I30" s="91"/>
      <c r="J30" s="92">
        <f>2054+5455+41645.4+97721+16613.36+54780+206038.8+87315.2+178594</f>
        <v>690216.76</v>
      </c>
      <c r="K30" s="91">
        <f>N30+M30</f>
        <v>547653.4299999999</v>
      </c>
      <c r="L30" s="116">
        <f>K30*100/D30</f>
        <v>36.51022866666666</v>
      </c>
      <c r="M30" s="91"/>
      <c r="N30" s="91">
        <f>84890+2425.2+379837+8000+113164.2-87315.2+26440+20212.23</f>
        <v>547653.4299999999</v>
      </c>
      <c r="O30" s="92">
        <f>D30-G30-K30</f>
        <v>262129.81000000006</v>
      </c>
      <c r="P30" s="92">
        <f>O30*100/D30</f>
        <v>17.475320666666672</v>
      </c>
      <c r="Q30" s="92">
        <f>E30-I30-M30</f>
        <v>0</v>
      </c>
      <c r="R30" s="92">
        <f>F30-J30-N30</f>
        <v>262129.81000000006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280371.57</v>
      </c>
      <c r="H34" s="99">
        <f>G34*100/D34</f>
        <v>28.037157</v>
      </c>
      <c r="I34" s="91"/>
      <c r="J34" s="92">
        <f>49302+33122.25+14596.32+90991+87360+5000</f>
        <v>280371.57</v>
      </c>
      <c r="K34" s="91">
        <f>N34+M34</f>
        <v>83510</v>
      </c>
      <c r="L34" s="116">
        <f>K34*100/D34</f>
        <v>8.351</v>
      </c>
      <c r="M34" s="91"/>
      <c r="N34" s="91">
        <f>15000+68510</f>
        <v>83510</v>
      </c>
      <c r="O34" s="92">
        <f>D34-G34-K34</f>
        <v>636118.4299999999</v>
      </c>
      <c r="P34" s="92">
        <f>O34*100/D34</f>
        <v>63.61184299999999</v>
      </c>
      <c r="Q34" s="92">
        <f>E34-I34-M34</f>
        <v>104000</v>
      </c>
      <c r="R34" s="92">
        <f>F34-J34-N34</f>
        <v>532118.4299999999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300640.41000000003</v>
      </c>
      <c r="H38" s="99">
        <f>G38*100/D38</f>
        <v>20.042694</v>
      </c>
      <c r="I38" s="91"/>
      <c r="J38" s="92">
        <f>49302+33122.25+29433.16+96423+87360+5000</f>
        <v>300640.41000000003</v>
      </c>
      <c r="K38" s="91">
        <f>N38+M38</f>
        <v>136397.8</v>
      </c>
      <c r="L38" s="116">
        <f>K38*100/D38</f>
        <v>9.093186666666666</v>
      </c>
      <c r="M38" s="91"/>
      <c r="N38" s="91">
        <f>127410+8987.8</f>
        <v>136397.8</v>
      </c>
      <c r="O38" s="92">
        <f>D38-G38-K38</f>
        <v>1062961.7899999998</v>
      </c>
      <c r="P38" s="92">
        <f>O38*100/D38</f>
        <v>70.86411933333332</v>
      </c>
      <c r="Q38" s="92">
        <f>E38-I38-M38</f>
        <v>493000</v>
      </c>
      <c r="R38" s="92">
        <f>F38-J38-N38</f>
        <v>569961.79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270534.96</v>
      </c>
      <c r="H42" s="99">
        <f>G42*100/D42</f>
        <v>18.035664000000004</v>
      </c>
      <c r="I42" s="91"/>
      <c r="J42" s="92">
        <f>10956+26497.8+14410+29433.16+96878+87360+5000</f>
        <v>270534.96</v>
      </c>
      <c r="K42" s="91">
        <f>N42+M42</f>
        <v>236170.94999999998</v>
      </c>
      <c r="L42" s="116">
        <f>K42*100/D42</f>
        <v>15.74473</v>
      </c>
      <c r="M42" s="91"/>
      <c r="N42" s="91">
        <f>188140+8987.8+39043.15</f>
        <v>236170.94999999998</v>
      </c>
      <c r="O42" s="92">
        <f>D42-G42-K42</f>
        <v>993294.0900000001</v>
      </c>
      <c r="P42" s="92">
        <f>O42*100/D42</f>
        <v>66.21960600000001</v>
      </c>
      <c r="Q42" s="92">
        <f>E42-I42-M42</f>
        <v>446000</v>
      </c>
      <c r="R42" s="92">
        <f>F42-J42-N42</f>
        <v>547294.0900000001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1107545.44</v>
      </c>
      <c r="H46" s="99">
        <f>G46*100/D46</f>
        <v>27.688636</v>
      </c>
      <c r="I46" s="91"/>
      <c r="J46" s="92">
        <f>3479+332680+144892.35+28434.84+2560+131908.05+95594+164340+49063+91545+2425.2+60624</f>
        <v>1107545.44</v>
      </c>
      <c r="K46" s="92">
        <f>N46+M46</f>
        <v>1380430.3</v>
      </c>
      <c r="L46" s="116">
        <f>K46*100/D46</f>
        <v>34.5107575</v>
      </c>
      <c r="M46" s="91"/>
      <c r="N46" s="92">
        <f>156373+49063+875811+2425.2+284100+55158.5-49063-2425.2+8987.8</f>
        <v>1380430.3</v>
      </c>
      <c r="O46" s="92">
        <f>D46-G46-K46</f>
        <v>1512024.26</v>
      </c>
      <c r="P46" s="92">
        <f>O46*100/D46</f>
        <v>37.8006065</v>
      </c>
      <c r="Q46" s="92">
        <f>E46-I46-M46</f>
        <v>0</v>
      </c>
      <c r="R46" s="92">
        <f>F46-J46-N46</f>
        <v>1512024.26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696483.1000000001</v>
      </c>
      <c r="H50" s="99">
        <f>G50*100/D50</f>
        <v>23.21610333333334</v>
      </c>
      <c r="I50" s="91"/>
      <c r="J50" s="92">
        <f>109511.1+40568.8+113296.5+35951.7+98897+298258</f>
        <v>696483.1000000001</v>
      </c>
      <c r="K50" s="91">
        <f>N50+M50</f>
        <v>769800.22</v>
      </c>
      <c r="L50" s="116">
        <f>K50*100/D50</f>
        <v>25.660007333333333</v>
      </c>
      <c r="M50" s="91"/>
      <c r="N50" s="91">
        <f>298258+35951.7+105376+256871.02+349770+38455.2-35951.7+4000+15328-298258</f>
        <v>769800.22</v>
      </c>
      <c r="O50" s="92">
        <f>D50-G50-K50</f>
        <v>1533716.68</v>
      </c>
      <c r="P50" s="92">
        <f>O50*100/D50</f>
        <v>51.12388933333333</v>
      </c>
      <c r="Q50" s="92">
        <f>E50-I50-M50</f>
        <v>0</v>
      </c>
      <c r="R50" s="92">
        <f>F50-J50-N50</f>
        <v>1533716.68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1429979.4699999997</v>
      </c>
      <c r="H54" s="99">
        <f>G54*100/D54</f>
        <v>57.19917879999999</v>
      </c>
      <c r="I54" s="91"/>
      <c r="J54" s="92">
        <f>3479+73034.17+288102+23540+99465+160352.4+292458+192489+3842+86798.7+161940+44479.2</f>
        <v>1429979.4699999997</v>
      </c>
      <c r="K54" s="91">
        <f>N54+M54</f>
        <v>51154</v>
      </c>
      <c r="L54" s="116">
        <f>K54*100/D54</f>
        <v>2.04616</v>
      </c>
      <c r="M54" s="91"/>
      <c r="N54" s="91">
        <f>42054+2425.2+51154-44479.2</f>
        <v>51154</v>
      </c>
      <c r="O54" s="92">
        <f>D54-G54-K54</f>
        <v>1018866.5300000003</v>
      </c>
      <c r="P54" s="92">
        <f>O54*100/D54</f>
        <v>40.754661200000015</v>
      </c>
      <c r="Q54" s="92">
        <f>E54-I54-M54</f>
        <v>0</v>
      </c>
      <c r="R54" s="92">
        <f>F54-J54-N54</f>
        <v>1018866.5300000003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791251.9</v>
      </c>
      <c r="H58" s="99">
        <f>G58*100/D58</f>
        <v>34.40225652173913</v>
      </c>
      <c r="I58" s="91"/>
      <c r="J58" s="92">
        <f>53980+117995.3+95817+82717.35+193760+165611.25+53980+27391</f>
        <v>791251.9</v>
      </c>
      <c r="K58" s="91">
        <f>N58+M58</f>
        <v>488181.4</v>
      </c>
      <c r="L58" s="116">
        <f>K58*100/D58</f>
        <v>21.225278260869565</v>
      </c>
      <c r="M58" s="91"/>
      <c r="N58" s="91">
        <f>483176+5005.4</f>
        <v>488181.4</v>
      </c>
      <c r="O58" s="92">
        <f>D58-G58-K58</f>
        <v>1020566.7000000001</v>
      </c>
      <c r="P58" s="92">
        <f>O58*100/D58</f>
        <v>44.3724652173913</v>
      </c>
      <c r="Q58" s="92">
        <f>E58-I58-M58</f>
        <v>0</v>
      </c>
      <c r="R58" s="92">
        <f>F58-J58-N58</f>
        <v>1020566.7000000001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1443000</v>
      </c>
      <c r="F61" s="184">
        <f>F7+F10+F15+F18+F22+F26+F30+F34+F38+F42+F46+F50+F54+F58</f>
        <v>25423100</v>
      </c>
      <c r="G61" s="186">
        <f>J61+I61</f>
        <v>7946155.600000001</v>
      </c>
      <c r="H61" s="183">
        <f>G61*100/D61</f>
        <v>29.576885368549956</v>
      </c>
      <c r="I61" s="186">
        <f>I7+I10+I15+I18+I22+I26+I30+I34+I38+I42+I46+I50+I54+I58</f>
        <v>0</v>
      </c>
      <c r="J61" s="183">
        <f>J7+J10+J15+J18+J22+J26+J30+J34+J38+J42+J46+J50+J54+J58</f>
        <v>7946155.600000001</v>
      </c>
      <c r="K61" s="186">
        <f>N61+M61</f>
        <v>4665466.34</v>
      </c>
      <c r="L61" s="183">
        <f>K61*100/D61</f>
        <v>17.365625602525114</v>
      </c>
      <c r="M61" s="186">
        <f>M7+M10+M15+M18+M22+M26+M30+M34+M38+M42+M46+M50+M54+M58</f>
        <v>0</v>
      </c>
      <c r="N61" s="186">
        <f>N7+N10+N15+N18+N22+N26+N30+N34+N38+N42+N46+N50+N54+N58</f>
        <v>4665466.34</v>
      </c>
      <c r="O61" s="183">
        <f>D61-G61-K61</f>
        <v>14254478.059999999</v>
      </c>
      <c r="P61" s="183">
        <f>O61*100/D61</f>
        <v>53.05748902892492</v>
      </c>
      <c r="Q61" s="201">
        <f>E61-I61-M61</f>
        <v>1443000</v>
      </c>
      <c r="R61" s="182">
        <f>F61-J61-N61</f>
        <v>12811478.059999999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619462.56</v>
      </c>
      <c r="H64" s="99">
        <f>G64*100/D64</f>
        <v>32.46659119496856</v>
      </c>
      <c r="I64" s="91"/>
      <c r="J64" s="92">
        <f>34620+53980+30914.1+43230+15478+8989.07+54780+18360+68747.04+180752.85+53980+28031.5+27600</f>
        <v>619462.56</v>
      </c>
      <c r="K64" s="91">
        <f>N64+M64</f>
        <v>66664.8</v>
      </c>
      <c r="L64" s="116">
        <f>K64*100/D64</f>
        <v>3.4939622641509436</v>
      </c>
      <c r="M64" s="91"/>
      <c r="N64" s="91">
        <f>28031.5-28031.5+66664.8</f>
        <v>66664.8</v>
      </c>
      <c r="O64" s="91">
        <f>D64-G64-K64</f>
        <v>1221872.64</v>
      </c>
      <c r="P64" s="92">
        <f>O64*100/D64</f>
        <v>64.03944654088049</v>
      </c>
      <c r="Q64" s="91">
        <f>E64-I64-M64</f>
        <v>0</v>
      </c>
      <c r="R64" s="92">
        <f>F64-J64-N64</f>
        <v>1221872.64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180860</v>
      </c>
      <c r="H67" s="99">
        <f>G67*100/D67</f>
        <v>1.248257298640348</v>
      </c>
      <c r="I67" s="91"/>
      <c r="J67" s="92">
        <f>82170+98690</f>
        <v>180860</v>
      </c>
      <c r="K67" s="91">
        <f>N67+M67</f>
        <v>210478</v>
      </c>
      <c r="L67" s="116">
        <f>K67*100/D67</f>
        <v>1.4526744426806544</v>
      </c>
      <c r="M67" s="91"/>
      <c r="N67" s="91">
        <f>7100+203378</f>
        <v>210478</v>
      </c>
      <c r="O67" s="92">
        <f>D67-G67-K67</f>
        <v>14097662</v>
      </c>
      <c r="P67" s="92">
        <f>O67*100/D67</f>
        <v>97.299068258679</v>
      </c>
      <c r="Q67" s="91">
        <f>E67-I67-M67</f>
        <v>0</v>
      </c>
      <c r="R67" s="176">
        <f>F67-J67-N67</f>
        <v>14097662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25192000</v>
      </c>
      <c r="E70" s="98"/>
      <c r="F70" s="117">
        <v>25192000</v>
      </c>
      <c r="G70" s="92">
        <f>J70+I70</f>
        <v>357491.95</v>
      </c>
      <c r="H70" s="99">
        <f>G70*100/D70</f>
        <v>1.4190693474118767</v>
      </c>
      <c r="I70" s="91"/>
      <c r="J70" s="92">
        <f>152362.35+82170+33039.6+89920</f>
        <v>357491.95</v>
      </c>
      <c r="K70" s="91">
        <f>N70+M70</f>
        <v>1692536.94</v>
      </c>
      <c r="L70" s="116">
        <f>K70*100/D70</f>
        <v>6.718549301365512</v>
      </c>
      <c r="M70" s="91"/>
      <c r="N70" s="91">
        <f>33039.6+36720+46052.2+12900+316182-33039.6+1280682.74</f>
        <v>1692536.94</v>
      </c>
      <c r="O70" s="92">
        <f>D70-G70-K70</f>
        <v>23141971.11</v>
      </c>
      <c r="P70" s="92">
        <f>O70*100/D70</f>
        <v>91.86238135122261</v>
      </c>
      <c r="Q70" s="91">
        <f>E70-I70-M70</f>
        <v>0</v>
      </c>
      <c r="R70" s="176">
        <f>F70-J70-N70</f>
        <v>23141971.11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3360000</v>
      </c>
      <c r="E74" s="98">
        <v>488900</v>
      </c>
      <c r="F74" s="117">
        <v>2871100</v>
      </c>
      <c r="G74" s="92">
        <f>J74+I74</f>
        <v>108065</v>
      </c>
      <c r="H74" s="99">
        <f>G74*100/D74</f>
        <v>3.216220238095238</v>
      </c>
      <c r="I74" s="91"/>
      <c r="J74" s="92">
        <f>54780+3334+49951</f>
        <v>108065</v>
      </c>
      <c r="K74" s="91">
        <f>N74+M74</f>
        <v>4000</v>
      </c>
      <c r="L74" s="116">
        <f>K74*100/D74</f>
        <v>0.11904761904761904</v>
      </c>
      <c r="M74" s="91"/>
      <c r="N74" s="91">
        <f>4000</f>
        <v>4000</v>
      </c>
      <c r="O74" s="92">
        <f>D74-G74-K74</f>
        <v>3247935</v>
      </c>
      <c r="P74" s="92">
        <f>O74*100/D74</f>
        <v>96.66473214285715</v>
      </c>
      <c r="Q74" s="92">
        <f>E74-I74-M74</f>
        <v>488900</v>
      </c>
      <c r="R74" s="176">
        <f>F74-J74-N74</f>
        <v>2759035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1382155.28</v>
      </c>
      <c r="H78" s="99">
        <f>G78*100/D78</f>
        <v>28.794901666666668</v>
      </c>
      <c r="I78" s="91"/>
      <c r="J78" s="92">
        <f>3479+16590+79170+53980+98970+215959.4+285519.78+213344.1+179663+53980+132135+41115+8250</f>
        <v>1382155.28</v>
      </c>
      <c r="K78" s="92">
        <f>N78+M78</f>
        <v>1400338.3</v>
      </c>
      <c r="L78" s="99">
        <f>K78*100/D78</f>
        <v>29.173714583333332</v>
      </c>
      <c r="M78" s="92"/>
      <c r="N78" s="92">
        <f>193137+132135+496196+634450+67567.5-132135+8987.8</f>
        <v>1400338.3</v>
      </c>
      <c r="O78" s="92">
        <f>D78-G78-K78</f>
        <v>2017506.4199999997</v>
      </c>
      <c r="P78" s="92">
        <f>O78*100/D78</f>
        <v>42.031383749999996</v>
      </c>
      <c r="Q78" s="91">
        <f>E78-I78-M78</f>
        <v>0</v>
      </c>
      <c r="R78" s="176">
        <f>F78-J78-N78</f>
        <v>2017506.4199999997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1055909.25</v>
      </c>
      <c r="H81" s="99">
        <f>G81*100/D81</f>
        <v>18.453499650471862</v>
      </c>
      <c r="I81" s="91"/>
      <c r="J81" s="92">
        <f>80970+216900.75+82068.8+1280+153724.05+88129.2+5040+427796.45</f>
        <v>1055909.25</v>
      </c>
      <c r="K81" s="91">
        <f>N81+M81</f>
        <v>1743238.2</v>
      </c>
      <c r="L81" s="116">
        <f>K81*100/D81</f>
        <v>30.465540020971687</v>
      </c>
      <c r="M81" s="91"/>
      <c r="N81" s="91">
        <f>346061+24060+61644+5040+490126+582780+2425.2+104043.4-88129.2-5040+14985+8987.8+97870+98385</f>
        <v>1743238.2</v>
      </c>
      <c r="O81" s="92">
        <f>D81-G81-K81</f>
        <v>2922852.55</v>
      </c>
      <c r="P81" s="92">
        <f>O81*100/D81</f>
        <v>51.08096032855645</v>
      </c>
      <c r="Q81" s="91">
        <f>E81-I81-M81</f>
        <v>0</v>
      </c>
      <c r="R81" s="176">
        <f>F81-J81-N81</f>
        <v>2922852.55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9621000</v>
      </c>
      <c r="E84" s="98">
        <v>470000</v>
      </c>
      <c r="F84" s="117">
        <v>9151000</v>
      </c>
      <c r="G84" s="92">
        <f>J84+I84</f>
        <v>127245</v>
      </c>
      <c r="H84" s="99">
        <f>G84*100/D84</f>
        <v>1.3225756158403492</v>
      </c>
      <c r="I84" s="91"/>
      <c r="J84" s="92">
        <f>98395+28850</f>
        <v>127245</v>
      </c>
      <c r="K84" s="91">
        <f>N84+M84</f>
        <v>618878.81</v>
      </c>
      <c r="L84" s="116">
        <f>K84*100/D84</f>
        <v>6.432582995530611</v>
      </c>
      <c r="M84" s="91"/>
      <c r="N84" s="91">
        <f>267113.2+351765.61</f>
        <v>618878.81</v>
      </c>
      <c r="O84" s="92">
        <f>D84-G84-K84</f>
        <v>8874876.19</v>
      </c>
      <c r="P84" s="92">
        <f>O84*100/D84</f>
        <v>92.24484138862904</v>
      </c>
      <c r="Q84" s="92">
        <f>E84-I84-M84</f>
        <v>470000</v>
      </c>
      <c r="R84" s="176">
        <f>F84-J84-N84</f>
        <v>8404876.19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9620000</v>
      </c>
      <c r="E87" s="98">
        <v>495000</v>
      </c>
      <c r="F87" s="117">
        <v>9125000</v>
      </c>
      <c r="G87" s="92">
        <f>J87+I87</f>
        <v>180860</v>
      </c>
      <c r="H87" s="99">
        <f>G87*100/D87</f>
        <v>1.88004158004158</v>
      </c>
      <c r="I87" s="91"/>
      <c r="J87" s="92">
        <f>82170+98690</f>
        <v>180860</v>
      </c>
      <c r="K87" s="91">
        <f>N87+M87</f>
        <v>181325.95</v>
      </c>
      <c r="L87" s="116">
        <f>K87*100/D87</f>
        <v>1.8848851351351352</v>
      </c>
      <c r="M87" s="91"/>
      <c r="N87" s="91">
        <f>181325.95</f>
        <v>181325.95</v>
      </c>
      <c r="O87" s="92">
        <f>D87-G87-K87</f>
        <v>9257814.05</v>
      </c>
      <c r="P87" s="92">
        <f>O87*100/D87</f>
        <v>96.2350732848233</v>
      </c>
      <c r="Q87" s="92">
        <f>E87-I87-M87</f>
        <v>495000</v>
      </c>
      <c r="R87" s="176">
        <f>F87-J87-N87</f>
        <v>8762814.05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3401000</v>
      </c>
      <c r="E91" s="98"/>
      <c r="F91" s="117">
        <f>3392000+9000</f>
        <v>3401000</v>
      </c>
      <c r="G91" s="92">
        <f>J91+I91</f>
        <v>854524.2</v>
      </c>
      <c r="H91" s="99">
        <f>G91*100/D91</f>
        <v>25.125674801528962</v>
      </c>
      <c r="I91" s="91"/>
      <c r="J91" s="92">
        <f>146999.7+98867+20000+274298+314359.5</f>
        <v>854524.2</v>
      </c>
      <c r="K91" s="91">
        <f>N91+M91</f>
        <v>1275491.2</v>
      </c>
      <c r="L91" s="116">
        <f>K91*100/D91</f>
        <v>37.50341664216407</v>
      </c>
      <c r="M91" s="91"/>
      <c r="N91" s="91">
        <f>20000+119743+178565+132650+790890-20000+4000+49643.2</f>
        <v>1275491.2</v>
      </c>
      <c r="O91" s="92">
        <f>D91-G91-K91</f>
        <v>1270984.5999999999</v>
      </c>
      <c r="P91" s="92">
        <f>O91*100/D91</f>
        <v>37.370908556306965</v>
      </c>
      <c r="Q91" s="91">
        <f>E91-I91-M91</f>
        <v>0</v>
      </c>
      <c r="R91" s="92">
        <f>F91-J91-N91</f>
        <v>1270984.5999999999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4759344.28</v>
      </c>
      <c r="H96" s="99">
        <f>G96*100/D96</f>
        <v>24.55548591476628</v>
      </c>
      <c r="I96" s="91"/>
      <c r="J96" s="92">
        <f>71922.6+68520+166602+99000+240000+581286.38+246510+136905.3+5330+40115+2595072+23191+484890</f>
        <v>4759344.28</v>
      </c>
      <c r="K96" s="92">
        <f>N96+M96</f>
        <v>6174307.83</v>
      </c>
      <c r="L96" s="116">
        <f>K96*100/D96</f>
        <v>31.855886028273655</v>
      </c>
      <c r="M96" s="91"/>
      <c r="N96" s="92">
        <f>2880346.91+2533347+453420+55158.5+12410.8+50400+22960+166264.62</f>
        <v>6174307.83</v>
      </c>
      <c r="O96" s="92">
        <f>D96-G96-K96</f>
        <v>8448347.889999999</v>
      </c>
      <c r="P96" s="92">
        <f>O96*100/D96</f>
        <v>43.58862805696006</v>
      </c>
      <c r="Q96" s="91">
        <f>E96-I96-M96</f>
        <v>0</v>
      </c>
      <c r="R96" s="176">
        <f>F96-J96-N96</f>
        <v>8448347.889999999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97495000</v>
      </c>
      <c r="E98" s="160">
        <f>E64+E67+E70+E74+E78+E81+E84+E87+E91+E96</f>
        <v>1453900</v>
      </c>
      <c r="F98" s="159">
        <f>F64+F67+F70+F74+F78+F81+F84+F87+F91+F96</f>
        <v>96041100</v>
      </c>
      <c r="G98" s="161">
        <f>J98+I98</f>
        <v>9625917.52</v>
      </c>
      <c r="H98" s="105">
        <f>G98*100/D98</f>
        <v>9.87324223806349</v>
      </c>
      <c r="I98" s="161">
        <f>I64+I67+I70+I74+I78+I81+I84+I87+I91+I96</f>
        <v>0</v>
      </c>
      <c r="J98" s="105">
        <f>J64+J67+J70+J74+J78+J81+J84+J87+J91+J96</f>
        <v>9625917.52</v>
      </c>
      <c r="K98" s="161">
        <f>N98+M98</f>
        <v>13367260.030000001</v>
      </c>
      <c r="L98" s="105">
        <f>K98*100/D98</f>
        <v>13.710713400687215</v>
      </c>
      <c r="M98" s="161">
        <f>M64+M67+M70+M74+M78+M81+M84+M87+M91+M96</f>
        <v>0</v>
      </c>
      <c r="N98" s="161">
        <f>N64+N67+N70+N74+N78+N81+N84+N87+N91+N96</f>
        <v>13367260.030000001</v>
      </c>
      <c r="O98" s="105">
        <f>D98-G98-K98</f>
        <v>74501822.45</v>
      </c>
      <c r="P98" s="105">
        <f>O98*100/D98</f>
        <v>76.41604436124929</v>
      </c>
      <c r="Q98" s="196">
        <f>E98-I98-M98</f>
        <v>1453900</v>
      </c>
      <c r="R98" s="114">
        <f>F98-J98-N98</f>
        <v>73047922.45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3147979.55</v>
      </c>
      <c r="H101" s="99">
        <f>G101*100/D101</f>
        <v>35.77249488636364</v>
      </c>
      <c r="I101" s="91"/>
      <c r="J101" s="92">
        <f>81420+247230+65337+247230+139529.7+243630+417520+3300+208450.15+43225.7+483100+243630+92081+250830+254430+75000+10880+22800+11690+6666</f>
        <v>3147979.55</v>
      </c>
      <c r="K101" s="91">
        <f>N101+M101</f>
        <v>772125.8799999999</v>
      </c>
      <c r="L101" s="116">
        <f>K101*100/D101</f>
        <v>8.774157727272726</v>
      </c>
      <c r="M101" s="91"/>
      <c r="N101" s="92">
        <f>92081+99572.8-92081+79460.88+254430+21680+254430+62552.2</f>
        <v>772125.8799999999</v>
      </c>
      <c r="O101" s="92">
        <f>D101-G101-K101</f>
        <v>4879894.57</v>
      </c>
      <c r="P101" s="92">
        <f>O101*100/D101</f>
        <v>55.45334738636364</v>
      </c>
      <c r="Q101" s="91">
        <f>E101-I101-M101</f>
        <v>0</v>
      </c>
      <c r="R101" s="176">
        <f>F101-J101-N101</f>
        <v>4879894.57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3147979.55</v>
      </c>
      <c r="H104" s="105">
        <f>G104*100/D104</f>
        <v>35.77249488636364</v>
      </c>
      <c r="I104" s="161">
        <f>I101</f>
        <v>0</v>
      </c>
      <c r="J104" s="105">
        <f>J101</f>
        <v>3147979.55</v>
      </c>
      <c r="K104" s="161">
        <f>N104+M104</f>
        <v>772125.8799999999</v>
      </c>
      <c r="L104" s="105">
        <f>K104*100/D104</f>
        <v>8.774157727272726</v>
      </c>
      <c r="M104" s="161">
        <f>M101</f>
        <v>0</v>
      </c>
      <c r="N104" s="161">
        <f>N101</f>
        <v>772125.8799999999</v>
      </c>
      <c r="O104" s="105">
        <f>D104-G104-K104</f>
        <v>4879894.57</v>
      </c>
      <c r="P104" s="105">
        <f>O104*100/D104</f>
        <v>55.45334738636364</v>
      </c>
      <c r="Q104" s="149">
        <f>E104-I104-M104</f>
        <v>0</v>
      </c>
      <c r="R104" s="114">
        <f>F104-J104-N104</f>
        <v>4879894.57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117">
        <f>F107+E107</f>
        <v>190000</v>
      </c>
      <c r="E107" s="98"/>
      <c r="F107" s="117">
        <v>190000</v>
      </c>
      <c r="G107" s="92">
        <f>J107+I107</f>
        <v>94708.95</v>
      </c>
      <c r="H107" s="99">
        <f>G107*100/D107</f>
        <v>49.84681578947369</v>
      </c>
      <c r="I107" s="92"/>
      <c r="J107" s="92">
        <f>17310+72868.95+4530</f>
        <v>94708.95</v>
      </c>
      <c r="K107" s="92">
        <f>N107+M107</f>
        <v>0</v>
      </c>
      <c r="L107" s="99">
        <f>K107*100/D107</f>
        <v>0</v>
      </c>
      <c r="M107" s="92"/>
      <c r="N107" s="92"/>
      <c r="O107" s="92">
        <f>D107-G107-K107</f>
        <v>95291.05</v>
      </c>
      <c r="P107" s="92">
        <f>O107*100/D107</f>
        <v>50.15318421052631</v>
      </c>
      <c r="Q107" s="91">
        <f>E107-I107-M107</f>
        <v>0</v>
      </c>
      <c r="R107" s="92">
        <f>F107-J107-N107</f>
        <v>95291.05</v>
      </c>
    </row>
    <row r="108" spans="1:18" s="112" customFormat="1" ht="18" customHeight="1">
      <c r="A108" s="100"/>
      <c r="B108" s="87" t="s">
        <v>88</v>
      </c>
      <c r="C108" s="107"/>
      <c r="D108" s="147"/>
      <c r="E108" s="148"/>
      <c r="F108" s="147"/>
      <c r="G108" s="197"/>
      <c r="H108" s="99"/>
      <c r="I108" s="197"/>
      <c r="J108" s="99"/>
      <c r="K108" s="197"/>
      <c r="L108" s="99"/>
      <c r="M108" s="197"/>
      <c r="N108" s="197"/>
      <c r="O108" s="99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47"/>
      <c r="E109" s="148"/>
      <c r="F109" s="147"/>
      <c r="G109" s="197"/>
      <c r="H109" s="99"/>
      <c r="I109" s="197"/>
      <c r="J109" s="99"/>
      <c r="K109" s="197"/>
      <c r="L109" s="99"/>
      <c r="M109" s="197"/>
      <c r="N109" s="197"/>
      <c r="O109" s="99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117">
        <f>F110+E110</f>
        <v>400000</v>
      </c>
      <c r="E110" s="98"/>
      <c r="F110" s="117">
        <v>400000</v>
      </c>
      <c r="G110" s="92">
        <f>J110+I110</f>
        <v>140295.75</v>
      </c>
      <c r="H110" s="99">
        <f>G110*100/D110</f>
        <v>35.0739375</v>
      </c>
      <c r="I110" s="92"/>
      <c r="J110" s="92">
        <f>34620+105675.75</f>
        <v>140295.75</v>
      </c>
      <c r="K110" s="92">
        <f>N110+M110</f>
        <v>15750</v>
      </c>
      <c r="L110" s="99">
        <f>K110*100/D110</f>
        <v>3.9375</v>
      </c>
      <c r="M110" s="92"/>
      <c r="N110" s="92">
        <f>15750</f>
        <v>15750</v>
      </c>
      <c r="O110" s="92">
        <f>D110-G110-K110</f>
        <v>243954.25</v>
      </c>
      <c r="P110" s="92">
        <f>O110*100/D110</f>
        <v>60.9885625</v>
      </c>
      <c r="Q110" s="91">
        <f>E110-I110-M110</f>
        <v>0</v>
      </c>
      <c r="R110" s="92">
        <f>F110-J110-N110</f>
        <v>243954.25</v>
      </c>
    </row>
    <row r="111" spans="1:18" s="112" customFormat="1" ht="18" customHeight="1">
      <c r="A111" s="100"/>
      <c r="B111" s="87" t="s">
        <v>85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317236.35000000003</v>
      </c>
      <c r="H113" s="99">
        <f>G113*100/D113</f>
        <v>79.3090875</v>
      </c>
      <c r="I113" s="92"/>
      <c r="J113" s="92">
        <f>192780+46371.15+17240+34140+26705.2</f>
        <v>317236.35000000003</v>
      </c>
      <c r="K113" s="92">
        <f>N113+M113</f>
        <v>25171.499999999996</v>
      </c>
      <c r="L113" s="99">
        <f>K113*100/D113</f>
        <v>6.292874999999999</v>
      </c>
      <c r="M113" s="92"/>
      <c r="N113" s="92">
        <f>19625.2+7220+25031.5-26705.2</f>
        <v>25171.499999999996</v>
      </c>
      <c r="O113" s="92">
        <f>D113-G113-K113</f>
        <v>57592.149999999965</v>
      </c>
      <c r="P113" s="92">
        <f>O113*100/D113</f>
        <v>14.39803749999999</v>
      </c>
      <c r="Q113" s="91">
        <f>E113-I113-M113</f>
        <v>0</v>
      </c>
      <c r="R113" s="92">
        <f>F113-J113-N113</f>
        <v>57592.149999999965</v>
      </c>
    </row>
    <row r="114" spans="1:18" s="112" customFormat="1" ht="18" customHeight="1">
      <c r="A114" s="100"/>
      <c r="B114" s="87" t="s">
        <v>95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117">
        <f>F116+E116</f>
        <v>140000</v>
      </c>
      <c r="E116" s="98"/>
      <c r="F116" s="117">
        <v>140000</v>
      </c>
      <c r="G116" s="92">
        <f>J116+I116</f>
        <v>81894.5</v>
      </c>
      <c r="H116" s="99">
        <f>G116*100/D116</f>
        <v>58.496071428571426</v>
      </c>
      <c r="I116" s="92"/>
      <c r="J116" s="92">
        <f>11540+4110+66244.5</f>
        <v>81894.5</v>
      </c>
      <c r="K116" s="92">
        <f>N116+M116</f>
        <v>0</v>
      </c>
      <c r="L116" s="99">
        <f>K116*100/D116</f>
        <v>0</v>
      </c>
      <c r="M116" s="92"/>
      <c r="N116" s="92"/>
      <c r="O116" s="92">
        <f>D116-G116-K116</f>
        <v>58105.5</v>
      </c>
      <c r="P116" s="92">
        <f>O116*100/D116</f>
        <v>41.503928571428574</v>
      </c>
      <c r="Q116" s="91">
        <f>E116-I116-M116</f>
        <v>0</v>
      </c>
      <c r="R116" s="92">
        <f>F116-J116-N116</f>
        <v>58105.5</v>
      </c>
    </row>
    <row r="117" spans="1:18" s="112" customFormat="1" ht="18" customHeight="1">
      <c r="A117" s="100"/>
      <c r="B117" s="87" t="s">
        <v>88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8">
        <f>F118+E118</f>
        <v>1130000</v>
      </c>
      <c r="E118" s="199">
        <f>E107+E110+E113+E116</f>
        <v>0</v>
      </c>
      <c r="F118" s="198">
        <f>F107+F110+F113+F116</f>
        <v>1130000</v>
      </c>
      <c r="G118" s="200">
        <f>J118+I118</f>
        <v>634135.55</v>
      </c>
      <c r="H118" s="195">
        <f>G118*100/D118</f>
        <v>56.11819026548673</v>
      </c>
      <c r="I118" s="200">
        <f>I107+I110+I113+I116</f>
        <v>0</v>
      </c>
      <c r="J118" s="195">
        <f>J107+J110+J113+J116</f>
        <v>634135.55</v>
      </c>
      <c r="K118" s="200">
        <f>N118+M118</f>
        <v>40921.5</v>
      </c>
      <c r="L118" s="202">
        <f>K118*100/D118</f>
        <v>3.6213716814159294</v>
      </c>
      <c r="M118" s="200">
        <f>M107+M110+M113+M116</f>
        <v>0</v>
      </c>
      <c r="N118" s="200">
        <f>N107+N110+N113+N116</f>
        <v>40921.5</v>
      </c>
      <c r="O118" s="195">
        <f>D118-G118-K118</f>
        <v>454942.94999999995</v>
      </c>
      <c r="P118" s="195">
        <f>O118*100/D118</f>
        <v>40.26043805309734</v>
      </c>
      <c r="Q118" s="194"/>
      <c r="R118" s="195">
        <f>F118-J118-N118</f>
        <v>454942.94999999995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7" t="s">
        <v>124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11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11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2018-01-28T05:54:51Z</cp:lastPrinted>
  <dcterms:created xsi:type="dcterms:W3CDTF">2009-12-25T03:29:35Z</dcterms:created>
  <dcterms:modified xsi:type="dcterms:W3CDTF">2018-01-29T03:24:51Z</dcterms:modified>
  <cp:category/>
  <cp:version/>
  <cp:contentType/>
  <cp:contentStatus/>
</cp:coreProperties>
</file>