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<sst xmlns="http://schemas.openxmlformats.org/spreadsheetml/2006/main" count="415" uniqueCount="205">
  <si>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</si>
  <si>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</si>
  <si>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</si>
  <si>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</si>
  <si>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</si>
  <si>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</si>
  <si>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</si>
  <si>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</si>
  <si>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</si>
  <si>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</si>
  <si>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</si>
  <si>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</si>
  <si>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</si>
  <si>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</si>
  <si>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</si>
  <si>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</si>
  <si>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</si>
  <si>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</si>
  <si>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</si>
  <si>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</si>
  <si>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</si>
  <si>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</si>
  <si>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</si>
  <si>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</si>
  <si>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</si>
  <si>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</si>
  <si>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</si>
  <si>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</si>
  <si>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</si>
  <si>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</si>
  <si>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</si>
  <si>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</si>
  <si>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</si>
  <si>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</si>
  <si>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</si>
  <si>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</si>
  <si>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</si>
  <si>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</si>
  <si>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</si>
  <si>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</si>
  <si>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</si>
  <si>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</si>
  <si>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</si>
  <si>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</si>
  <si>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</si>
  <si>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</si>
  <si>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</si>
  <si>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</si>
  <si>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</si>
  <si>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</si>
  <si>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</si>
  <si>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</si>
  <si>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</si>
  <si>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</si>
  <si>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</si>
  <si>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</si>
  <si>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</si>
  <si>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</si>
  <si>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</si>
  <si>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</si>
  <si>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</si>
  <si>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</si>
  <si>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</si>
  <si>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</si>
  <si>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</si>
  <si>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</si>
  <si>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</si>
  <si>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</si>
  <si>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</si>
  <si>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</si>
  <si>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</si>
  <si>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</si>
  <si>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</si>
  <si>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</si>
  <si>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</si>
  <si>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</si>
  <si>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</si>
  <si>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</si>
  <si>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</si>
  <si>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</si>
  <si>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</si>
  <si>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</si>
  <si>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</si>
  <si>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</si>
  <si>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</si>
  <si>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</si>
  <si>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</si>
  <si>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</si>
  <si>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</si>
  <si>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</si>
  <si>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</si>
  <si>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</si>
  <si>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</si>
  <si>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</si>
  <si>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</si>
  <si>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</si>
  <si>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</si>
  <si>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</si>
  <si>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</si>
  <si>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</si>
  <si>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</si>
  <si>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</si>
  <si>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</si>
  <si>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</si>
  <si>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</si>
  <si>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</si>
  <si>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</si>
  <si>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</si>
  <si>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</si>
  <si>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</si>
  <si>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</si>
  <si>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</si>
  <si>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</si>
  <si>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</si>
  <si>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</si>
  <si>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</si>
  <si>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</si>
  <si>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</si>
  <si>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</si>
  <si>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</si>
  <si>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</si>
  <si>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</si>
  <si>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</si>
  <si>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</si>
  <si>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</si>
  <si>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</si>
  <si>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</si>
  <si>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</si>
  <si>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</si>
  <si>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</si>
  <si>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</si>
  <si>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</si>
  <si>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</si>
  <si>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</si>
  <si>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</si>
  <si>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</si>
  <si>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</si>
  <si>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</si>
  <si>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</si>
  <si>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</si>
  <si>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</si>
  <si>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</si>
  <si>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</si>
  <si>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</si>
  <si>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</si>
  <si>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</si>
  <si>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</si>
  <si>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</si>
  <si>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</si>
  <si>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</si>
  <si>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</si>
  <si>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</si>
  <si>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</si>
  <si>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</si>
  <si>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</si>
  <si>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</si>
  <si>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</si>
  <si>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</si>
  <si>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</si>
  <si>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</si>
  <si>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</si>
  <si>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</si>
  <si>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</si>
  <si>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</si>
  <si>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</si>
  <si>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</si>
  <si>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</si>
  <si>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</si>
  <si>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</si>
  <si>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</si>
  <si>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</si>
  <si>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</si>
  <si>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</si>
  <si>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</si>
  <si>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</si>
  <si>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</si>
  <si>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</si>
  <si>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</si>
  <si>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</si>
  <si>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</si>
  <si>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</si>
  <si>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</si>
  <si>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</si>
  <si>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</si>
  <si>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</si>
  <si>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</si>
  <si>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</si>
  <si>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</si>
  <si>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</si>
  <si>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</si>
  <si>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</si>
  <si>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</si>
  <si>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</si>
  <si>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</si>
  <si>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</si>
  <si>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</si>
  <si>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</si>
  <si>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</si>
  <si>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</si>
  <si>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</si>
  <si>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</si>
  <si>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</si>
  <si>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</si>
  <si>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</si>
  <si>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5  ม.ค.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</si>
</sst>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3" t="s">
        <v>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G100" sqref="G100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09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13365831.090000002</v>
      </c>
      <c r="H4" s="115">
        <f>G4*100/D4</f>
        <v>9.95287929728776</v>
      </c>
      <c r="I4" s="113">
        <f>SUM(I61+I98+I104+I118)</f>
        <v>0</v>
      </c>
      <c r="J4" s="113">
        <f>SUM(J61+J98+J104+J118)</f>
        <v>13365831.090000002</v>
      </c>
      <c r="K4" s="115">
        <f>M4+N4</f>
        <v>21313727.740000002</v>
      </c>
      <c r="L4" s="115">
        <f>K4*100/D4</f>
        <v>15.871288372796114</v>
      </c>
      <c r="M4" s="113">
        <f>SUM(M61+M98+M104+M118)</f>
        <v>0</v>
      </c>
      <c r="N4" s="113">
        <f>SUM(N61+N98+N104+N118)</f>
        <v>21313727.740000002</v>
      </c>
      <c r="O4" s="113">
        <f>Q4+R4</f>
        <v>99611541.17</v>
      </c>
      <c r="P4" s="113">
        <f>O4*100/D4</f>
        <v>74.17583232991613</v>
      </c>
      <c r="Q4" s="113">
        <f>SUM(Q61+Q98+Q104+Q118)</f>
        <v>2896900</v>
      </c>
      <c r="R4" s="113">
        <f>SUM(R61+R98+R104+R118)</f>
        <v>96714641.17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715622.3500000001</v>
      </c>
      <c r="H10" s="99">
        <f>G10*100/D10</f>
        <v>14.410147802098228</v>
      </c>
      <c r="I10" s="91"/>
      <c r="J10" s="92">
        <f>264457.9+145758.9+272283.3+19873.35+13248.9</f>
        <v>715622.3500000001</v>
      </c>
      <c r="K10" s="91">
        <f>N10+M10</f>
        <v>247152.5</v>
      </c>
      <c r="L10" s="116">
        <f>K10*100/D10</f>
        <v>4.976792654195445</v>
      </c>
      <c r="M10" s="91"/>
      <c r="N10" s="91">
        <f>66067.5+55000+63022+63063</f>
        <v>247152.5</v>
      </c>
      <c r="O10" s="91">
        <f>D10-G10-K10</f>
        <v>4003325.1500000004</v>
      </c>
      <c r="P10" s="92">
        <f>O10*100/D10</f>
        <v>80.61305954370634</v>
      </c>
      <c r="Q10" s="91">
        <f>E10-I10-M10</f>
        <v>0</v>
      </c>
      <c r="R10" s="92">
        <f>F10-J10-N10</f>
        <v>4003325.1500000004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42690.840000000004</v>
      </c>
      <c r="L15" s="116">
        <f>K15*100/D15</f>
        <v>4.269084</v>
      </c>
      <c r="M15" s="91"/>
      <c r="N15" s="91">
        <f>14782.1+27908.74</f>
        <v>42690.840000000004</v>
      </c>
      <c r="O15" s="92">
        <f>D15-G15-K15</f>
        <v>957309.16</v>
      </c>
      <c r="P15" s="92">
        <f>O15*100/D15</f>
        <v>95.730916</v>
      </c>
      <c r="Q15" s="92">
        <f>E15-I15-M15</f>
        <v>400000</v>
      </c>
      <c r="R15" s="91">
        <f>F15-J15-N15</f>
        <v>557309.16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545829.25</v>
      </c>
      <c r="H18" s="99">
        <f>G18*100/D18</f>
        <v>54.582925</v>
      </c>
      <c r="I18" s="91"/>
      <c r="J18" s="92">
        <f>83290.8+21632.4+132720+68442+27898+98865+112981.05</f>
        <v>545829.25</v>
      </c>
      <c r="K18" s="91">
        <f>N18+M18</f>
        <v>222643.84</v>
      </c>
      <c r="L18" s="116">
        <f>K18*100/D18</f>
        <v>22.264384</v>
      </c>
      <c r="M18" s="91"/>
      <c r="N18" s="91">
        <f>21811.2+164725.84+15000+9796.8+11310</f>
        <v>222643.84</v>
      </c>
      <c r="O18" s="92">
        <f>D18-G18-K18</f>
        <v>231526.91</v>
      </c>
      <c r="P18" s="92">
        <f>O18*100/D18</f>
        <v>23.152691</v>
      </c>
      <c r="Q18" s="92">
        <f>E18-I18-M18</f>
        <v>0</v>
      </c>
      <c r="R18" s="92">
        <f>F18-J18-N18</f>
        <v>231526.91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69336.9</v>
      </c>
      <c r="H22" s="99">
        <f>G22*100/D22</f>
        <v>13.867379999999999</v>
      </c>
      <c r="I22" s="91"/>
      <c r="J22" s="92">
        <f>3479+35900+7652.6+15000+7305.3</f>
        <v>69336.9</v>
      </c>
      <c r="K22" s="92">
        <f>N22+M22</f>
        <v>145425.2</v>
      </c>
      <c r="L22" s="116">
        <f>K22*100/D22</f>
        <v>29.085040000000003</v>
      </c>
      <c r="M22" s="91"/>
      <c r="N22" s="92">
        <f>29000-15000+2425.2+90000+39000</f>
        <v>145425.2</v>
      </c>
      <c r="O22" s="92">
        <f>D22-G22-K22</f>
        <v>285237.89999999997</v>
      </c>
      <c r="P22" s="92">
        <f>O22*100/D22</f>
        <v>57.04757999999999</v>
      </c>
      <c r="Q22" s="92">
        <f>E22-I22-M22</f>
        <v>0</v>
      </c>
      <c r="R22" s="92">
        <f>F22-J22-N22</f>
        <v>285237.89999999997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598828.75</v>
      </c>
      <c r="H26" s="99">
        <f>G26*100/D26</f>
        <v>35.225220588235295</v>
      </c>
      <c r="I26" s="91"/>
      <c r="J26" s="92">
        <f>6958+98462+53980+10382+70832.4+9162.41+15120+90465+10561.44+3360+66244.5+9621+99700+53980</f>
        <v>598828.75</v>
      </c>
      <c r="K26" s="91">
        <f>N26+M26</f>
        <v>513570</v>
      </c>
      <c r="L26" s="116">
        <f>K26*100/D26</f>
        <v>30.21</v>
      </c>
      <c r="M26" s="91"/>
      <c r="N26" s="91">
        <f>22380+7060+429250-15120+60000+10000</f>
        <v>513570</v>
      </c>
      <c r="O26" s="92">
        <f>D26-G26-K26</f>
        <v>587601.25</v>
      </c>
      <c r="P26" s="92">
        <f>O26*100/D26</f>
        <v>34.564779411764704</v>
      </c>
      <c r="Q26" s="92">
        <f>E26-I26-M26</f>
        <v>0</v>
      </c>
      <c r="R26" s="92">
        <f>F26-J26-N26</f>
        <v>587601.25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424307.56</v>
      </c>
      <c r="H30" s="99">
        <f>G30*100/D30</f>
        <v>28.28717066666667</v>
      </c>
      <c r="I30" s="91"/>
      <c r="J30" s="92">
        <f>2054+5455+41645.4+97721+16613.36+54780+206038.8</f>
        <v>424307.56</v>
      </c>
      <c r="K30" s="91">
        <f>N30+M30</f>
        <v>766910.3999999999</v>
      </c>
      <c r="L30" s="116">
        <f>K30*100/D30</f>
        <v>51.12735999999999</v>
      </c>
      <c r="M30" s="91"/>
      <c r="N30" s="91">
        <f>84890+2425.2+379837+178594+8000+113164.2</f>
        <v>766910.3999999999</v>
      </c>
      <c r="O30" s="92">
        <f>D30-G30-K30</f>
        <v>308782.04000000004</v>
      </c>
      <c r="P30" s="92">
        <f>O30*100/D30</f>
        <v>20.585469333333336</v>
      </c>
      <c r="Q30" s="92">
        <f>E30-I30-M30</f>
        <v>0</v>
      </c>
      <c r="R30" s="92">
        <f>F30-J30-N30</f>
        <v>308782.04000000004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82424.25</v>
      </c>
      <c r="H34" s="99">
        <f>G34*100/D34</f>
        <v>8.242425</v>
      </c>
      <c r="I34" s="91"/>
      <c r="J34" s="92">
        <f>49302+33122.25</f>
        <v>82424.25</v>
      </c>
      <c r="K34" s="91">
        <f>N34+M34</f>
        <v>212947.32</v>
      </c>
      <c r="L34" s="116">
        <f>K34*100/D34</f>
        <v>21.294732</v>
      </c>
      <c r="M34" s="91"/>
      <c r="N34" s="91">
        <f>14596.32+90991+15000+5000+87360</f>
        <v>212947.32</v>
      </c>
      <c r="O34" s="92">
        <f>D34-G34-K34</f>
        <v>704628.4299999999</v>
      </c>
      <c r="P34" s="92">
        <f>O34*100/D34</f>
        <v>70.462843</v>
      </c>
      <c r="Q34" s="92">
        <f>E34-I34-M34</f>
        <v>104000</v>
      </c>
      <c r="R34" s="92">
        <f>F34-J34-N34</f>
        <v>600628.4299999999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82424.25</v>
      </c>
      <c r="H38" s="99">
        <f>G38*100/D38</f>
        <v>5.49495</v>
      </c>
      <c r="I38" s="91"/>
      <c r="J38" s="92">
        <f>49302+33122.25</f>
        <v>82424.25</v>
      </c>
      <c r="K38" s="91">
        <f>N38+M38</f>
        <v>5000</v>
      </c>
      <c r="L38" s="116">
        <f>K38*100/D38</f>
        <v>0.3333333333333333</v>
      </c>
      <c r="M38" s="91"/>
      <c r="N38" s="91">
        <f>5000</f>
        <v>5000</v>
      </c>
      <c r="O38" s="92">
        <f>D38-G38-K38</f>
        <v>1412575.75</v>
      </c>
      <c r="P38" s="92">
        <f>O38*100/D38</f>
        <v>94.17171666666667</v>
      </c>
      <c r="Q38" s="92">
        <f>E38-I38-M38</f>
        <v>493000</v>
      </c>
      <c r="R38" s="92">
        <f>F38-J38-N38</f>
        <v>919575.75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37453.8</v>
      </c>
      <c r="H42" s="99">
        <f>G42*100/D42</f>
        <v>2.4969200000000003</v>
      </c>
      <c r="I42" s="91"/>
      <c r="J42" s="92">
        <f>10956+26497.8</f>
        <v>37453.8</v>
      </c>
      <c r="K42" s="91">
        <f>N42+M42</f>
        <v>131311.16</v>
      </c>
      <c r="L42" s="116">
        <f>K42*100/D42</f>
        <v>8.754077333333333</v>
      </c>
      <c r="M42" s="91"/>
      <c r="N42" s="91">
        <f>29433.16+96878+5000</f>
        <v>131311.16</v>
      </c>
      <c r="O42" s="92">
        <f>D42-G42-K42</f>
        <v>1331235.04</v>
      </c>
      <c r="P42" s="92">
        <f>O42*100/D42</f>
        <v>88.74900266666667</v>
      </c>
      <c r="Q42" s="92">
        <f>E42-I42-M42</f>
        <v>446000</v>
      </c>
      <c r="R42" s="92">
        <f>F42-J42-N42</f>
        <v>885235.0399999999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739548.24</v>
      </c>
      <c r="H46" s="99">
        <f>G46*100/D46</f>
        <v>18.488706</v>
      </c>
      <c r="I46" s="91"/>
      <c r="J46" s="92">
        <f>3479+332680+144892.35+28434.84+2560+131908.05+95594</f>
        <v>739548.24</v>
      </c>
      <c r="K46" s="92">
        <f>N46+M46</f>
        <v>1739439.7</v>
      </c>
      <c r="L46" s="116">
        <f>K46*100/D46</f>
        <v>43.4859925</v>
      </c>
      <c r="M46" s="91"/>
      <c r="N46" s="92">
        <f>156373+49063+875811+2425.2+164340+91545+60624+284100+55158.5</f>
        <v>1739439.7</v>
      </c>
      <c r="O46" s="92">
        <f>D46-G46-K46</f>
        <v>1521012.0599999998</v>
      </c>
      <c r="P46" s="92">
        <f>O46*100/D46</f>
        <v>38.02530149999999</v>
      </c>
      <c r="Q46" s="92">
        <f>E46-I46-M46</f>
        <v>0</v>
      </c>
      <c r="R46" s="92">
        <f>F46-J46-N46</f>
        <v>1521012.0599999998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263376.4</v>
      </c>
      <c r="H50" s="99">
        <f>G50*100/D50</f>
        <v>8.779213333333335</v>
      </c>
      <c r="I50" s="91"/>
      <c r="J50" s="92">
        <f>109511.1+40568.8+113296.5</f>
        <v>263376.4</v>
      </c>
      <c r="K50" s="91">
        <f>N50+M50</f>
        <v>1183578.92</v>
      </c>
      <c r="L50" s="116">
        <f>K50*100/D50</f>
        <v>39.452630666666664</v>
      </c>
      <c r="M50" s="91"/>
      <c r="N50" s="91">
        <f>298258+35951.7+105376+256871.02+349770+98897+38455.2</f>
        <v>1183578.92</v>
      </c>
      <c r="O50" s="92">
        <f>D50-G50-K50</f>
        <v>1553044.6800000002</v>
      </c>
      <c r="P50" s="92">
        <f>O50*100/D50</f>
        <v>51.76815600000001</v>
      </c>
      <c r="Q50" s="92">
        <f>E50-I50-M50</f>
        <v>0</v>
      </c>
      <c r="R50" s="92">
        <f>F50-J50-N50</f>
        <v>1553044.6800000002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1385500.2699999998</v>
      </c>
      <c r="H54" s="99">
        <f>G54*100/D54</f>
        <v>55.420010799999986</v>
      </c>
      <c r="I54" s="91"/>
      <c r="J54" s="92">
        <f>3479+73034.17+288102+23540+99465+160352.4+292458+192489+3842+86798.7+161940</f>
        <v>1385500.2699999998</v>
      </c>
      <c r="K54" s="91">
        <f>N54+M54</f>
        <v>95633.2</v>
      </c>
      <c r="L54" s="116">
        <f>K54*100/D54</f>
        <v>3.825328</v>
      </c>
      <c r="M54" s="91"/>
      <c r="N54" s="91">
        <f>42054+2425.2+51154</f>
        <v>95633.2</v>
      </c>
      <c r="O54" s="92">
        <f>D54-G54-K54</f>
        <v>1018866.5300000003</v>
      </c>
      <c r="P54" s="92">
        <f>O54*100/D54</f>
        <v>40.754661200000015</v>
      </c>
      <c r="Q54" s="92">
        <f>E54-I54-M54</f>
        <v>0</v>
      </c>
      <c r="R54" s="92">
        <f>F54-J54-N54</f>
        <v>1018866.5300000003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763860.9</v>
      </c>
      <c r="H58" s="99">
        <f>G58*100/D58</f>
        <v>33.21134347826087</v>
      </c>
      <c r="I58" s="91"/>
      <c r="J58" s="92">
        <f>53980+117995.3+95817+82717.35+193760+165611.25+53980</f>
        <v>763860.9</v>
      </c>
      <c r="K58" s="91">
        <f>N58+M58</f>
        <v>515572.4</v>
      </c>
      <c r="L58" s="116">
        <f>K58*100/D58</f>
        <v>22.416191304347826</v>
      </c>
      <c r="M58" s="91"/>
      <c r="N58" s="91">
        <f>483176+27391+5005.4</f>
        <v>515572.4</v>
      </c>
      <c r="O58" s="92">
        <f>D58-G58-K58</f>
        <v>1020566.7000000001</v>
      </c>
      <c r="P58" s="92">
        <f>O58*100/D58</f>
        <v>44.3724652173913</v>
      </c>
      <c r="Q58" s="92">
        <f>E58-I58-M58</f>
        <v>0</v>
      </c>
      <c r="R58" s="92">
        <f>F58-J58-N58</f>
        <v>1020566.7000000001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5725102.92</v>
      </c>
      <c r="H61" s="183">
        <f>G61*100/D61</f>
        <v>21.30976554096054</v>
      </c>
      <c r="I61" s="186">
        <f>I7+I10+I15+I18+I22+I26+I30+I34+I38+I42+I46+I50+I54+I58</f>
        <v>0</v>
      </c>
      <c r="J61" s="183">
        <f>J7+J10+J15+J18+J22+J26+J30+J34+J38+J42+J46+J50+J54+J58</f>
        <v>5725102.92</v>
      </c>
      <c r="K61" s="186">
        <f>N61+M61</f>
        <v>5821875.48</v>
      </c>
      <c r="L61" s="183">
        <f>K61*100/D61</f>
        <v>21.669968771053483</v>
      </c>
      <c r="M61" s="186">
        <f>M7+M10+M15+M18+M22+M26+M30+M34+M38+M42+M46+M50+M54+M58</f>
        <v>0</v>
      </c>
      <c r="N61" s="186">
        <f>N7+N10+N15+N18+N22+N26+N30+N34+N38+N42+N46+N50+N54+N58</f>
        <v>5821875.48</v>
      </c>
      <c r="O61" s="183">
        <f>D61-G61-K61</f>
        <v>15319121.599999998</v>
      </c>
      <c r="P61" s="183">
        <f>O61*100/D61</f>
        <v>57.02026568798597</v>
      </c>
      <c r="Q61" s="201">
        <f>E61-I61-M61</f>
        <v>1443000</v>
      </c>
      <c r="R61" s="182">
        <f>F61-J61-N61</f>
        <v>13876121.599999998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563831.06</v>
      </c>
      <c r="H64" s="99">
        <f>G64*100/D64</f>
        <v>29.55089412997904</v>
      </c>
      <c r="I64" s="91"/>
      <c r="J64" s="92">
        <f>34620+53980+30914.1+43230+15478+8989.07+54780+18360+68747.04+180752.85+53980</f>
        <v>563831.06</v>
      </c>
      <c r="K64" s="91">
        <f>N64+M64</f>
        <v>55631.5</v>
      </c>
      <c r="L64" s="116">
        <f>K64*100/D64</f>
        <v>2.915697064989518</v>
      </c>
      <c r="M64" s="91"/>
      <c r="N64" s="91">
        <f>28031.5+27600</f>
        <v>55631.5</v>
      </c>
      <c r="O64" s="91">
        <f>D64-G64-K64</f>
        <v>1288537.44</v>
      </c>
      <c r="P64" s="92">
        <f>O64*100/D64</f>
        <v>67.53340880503144</v>
      </c>
      <c r="Q64" s="91">
        <f>E64-I64-M64</f>
        <v>0</v>
      </c>
      <c r="R64" s="92">
        <f>F64-J64-N64</f>
        <v>1288537.44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82170</v>
      </c>
      <c r="H67" s="99">
        <f>G67*100/D67</f>
        <v>0.5671198840499689</v>
      </c>
      <c r="I67" s="91"/>
      <c r="J67" s="92">
        <f>82170</f>
        <v>82170</v>
      </c>
      <c r="K67" s="91">
        <f>N67+M67</f>
        <v>98690</v>
      </c>
      <c r="L67" s="116">
        <f>K67*100/D67</f>
        <v>0.6811374145903789</v>
      </c>
      <c r="M67" s="91"/>
      <c r="N67" s="91">
        <f>98690</f>
        <v>98690</v>
      </c>
      <c r="O67" s="92">
        <f>D67-G67-K67</f>
        <v>14308140</v>
      </c>
      <c r="P67" s="92">
        <f>O67*100/D67</f>
        <v>98.75174270135965</v>
      </c>
      <c r="Q67" s="91">
        <f>E67-I67-M67</f>
        <v>0</v>
      </c>
      <c r="R67" s="176">
        <f>F67-J67-N67</f>
        <v>14308140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234532.35</v>
      </c>
      <c r="H70" s="99">
        <f>G70*100/D70</f>
        <v>0.9309794776119403</v>
      </c>
      <c r="I70" s="91"/>
      <c r="J70" s="92">
        <f>152362.35+82170</f>
        <v>234532.35</v>
      </c>
      <c r="K70" s="91">
        <f>N70+M70</f>
        <v>534813.8</v>
      </c>
      <c r="L70" s="116">
        <f>K70*100/D70</f>
        <v>2.1229509368053354</v>
      </c>
      <c r="M70" s="91"/>
      <c r="N70" s="91">
        <f>33039.6+36720+89920+46052.2+12900+316182</f>
        <v>534813.8</v>
      </c>
      <c r="O70" s="92">
        <f>D70-G70-K70</f>
        <v>24422653.849999998</v>
      </c>
      <c r="P70" s="92">
        <f>O70*100/D70</f>
        <v>96.94606958558272</v>
      </c>
      <c r="Q70" s="91">
        <f>E70-I70-M70</f>
        <v>0</v>
      </c>
      <c r="R70" s="176">
        <f>F70-J70-N70</f>
        <v>24422653.849999998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54780</v>
      </c>
      <c r="H74" s="99">
        <f>G74*100/D74</f>
        <v>1.6303571428571428</v>
      </c>
      <c r="I74" s="91"/>
      <c r="J74" s="92">
        <f>54780</f>
        <v>54780</v>
      </c>
      <c r="K74" s="91">
        <f>N74+M74</f>
        <v>0</v>
      </c>
      <c r="L74" s="116">
        <f>K74*100/D74</f>
        <v>0</v>
      </c>
      <c r="M74" s="91"/>
      <c r="N74" s="91"/>
      <c r="O74" s="92">
        <f>D74-G74-K74</f>
        <v>3305220</v>
      </c>
      <c r="P74" s="92">
        <f>O74*100/D74</f>
        <v>98.36964285714286</v>
      </c>
      <c r="Q74" s="92">
        <f>E74-I74-M74</f>
        <v>488900</v>
      </c>
      <c r="R74" s="176">
        <f>F74-J74-N74</f>
        <v>2816320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1200655.28</v>
      </c>
      <c r="H78" s="99">
        <f>G78*100/D78</f>
        <v>25.013651666666668</v>
      </c>
      <c r="I78" s="91"/>
      <c r="J78" s="92">
        <f>3479+16590+79170+53980+98970+215959.4+285519.78+213344.1+179663+53980</f>
        <v>1200655.28</v>
      </c>
      <c r="K78" s="92">
        <f>N78+M78</f>
        <v>1564600.5</v>
      </c>
      <c r="L78" s="99">
        <f>K78*100/D78</f>
        <v>32.59584375</v>
      </c>
      <c r="M78" s="92"/>
      <c r="N78" s="92">
        <f>193137+132135+496196+41115+634450+67567.5</f>
        <v>1564600.5</v>
      </c>
      <c r="O78" s="92">
        <f>D78-G78-K78</f>
        <v>2034744.2199999997</v>
      </c>
      <c r="P78" s="92">
        <f>O78*100/D78</f>
        <v>42.390504583333325</v>
      </c>
      <c r="Q78" s="91">
        <f>E78-I78-M78</f>
        <v>0</v>
      </c>
      <c r="R78" s="176">
        <f>F78-J78-N78</f>
        <v>2034744.2199999997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534943.6</v>
      </c>
      <c r="H81" s="99">
        <f>G81*100/D81</f>
        <v>9.348891995805662</v>
      </c>
      <c r="I81" s="91"/>
      <c r="J81" s="92">
        <f>80970+216900.75+82068.8+1280+153724.05</f>
        <v>534943.6</v>
      </c>
      <c r="K81" s="91">
        <f>N81+M81</f>
        <v>2043976.0499999998</v>
      </c>
      <c r="L81" s="116">
        <f>K81*100/D81</f>
        <v>35.721357042991954</v>
      </c>
      <c r="M81" s="91"/>
      <c r="N81" s="91">
        <f>346061+427796.45+24060+61644+5040+490126+582780+2425.2+104043.4</f>
        <v>2043976.0499999998</v>
      </c>
      <c r="O81" s="92">
        <f>D81-G81-K81</f>
        <v>3143080.3500000006</v>
      </c>
      <c r="P81" s="92">
        <f>O81*100/D81</f>
        <v>54.92975096120239</v>
      </c>
      <c r="Q81" s="91">
        <f>E81-I81-M81</f>
        <v>0</v>
      </c>
      <c r="R81" s="176">
        <f>F81-J81-N81</f>
        <v>3143080.3500000006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127245</v>
      </c>
      <c r="L84" s="116">
        <f>K84*100/D84</f>
        <v>1.3225756158403492</v>
      </c>
      <c r="M84" s="91"/>
      <c r="N84" s="91">
        <f>28850+98395</f>
        <v>127245</v>
      </c>
      <c r="O84" s="92">
        <f>D84-G84-K84</f>
        <v>9493755</v>
      </c>
      <c r="P84" s="92">
        <f>O84*100/D84</f>
        <v>98.67742438415965</v>
      </c>
      <c r="Q84" s="92">
        <f>E84-I84-M84</f>
        <v>470000</v>
      </c>
      <c r="R84" s="176">
        <f>F84-J84-N84</f>
        <v>9023755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82170</v>
      </c>
      <c r="H87" s="99">
        <f>G87*100/D87</f>
        <v>0.8541580041580041</v>
      </c>
      <c r="I87" s="91"/>
      <c r="J87" s="92">
        <f>82170</f>
        <v>82170</v>
      </c>
      <c r="K87" s="91">
        <f>N87+M87</f>
        <v>98690</v>
      </c>
      <c r="L87" s="116">
        <f>K87*100/D87</f>
        <v>1.0258835758835758</v>
      </c>
      <c r="M87" s="91"/>
      <c r="N87" s="91">
        <f>98690</f>
        <v>98690</v>
      </c>
      <c r="O87" s="92">
        <f>D87-G87-K87</f>
        <v>9439140</v>
      </c>
      <c r="P87" s="92">
        <f>O87*100/D87</f>
        <v>98.11995841995842</v>
      </c>
      <c r="Q87" s="92">
        <f>E87-I87-M87</f>
        <v>495000</v>
      </c>
      <c r="R87" s="176">
        <f>F87-J87-N87</f>
        <v>8944140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245866.7</v>
      </c>
      <c r="H91" s="99">
        <f>G91*100/D91</f>
        <v>7.229247280211703</v>
      </c>
      <c r="I91" s="91"/>
      <c r="J91" s="92">
        <f>146999.7+98867</f>
        <v>245866.7</v>
      </c>
      <c r="K91" s="91">
        <f>N91+M91</f>
        <v>1830505.5</v>
      </c>
      <c r="L91" s="116">
        <f>K91*100/D91</f>
        <v>53.82256689209056</v>
      </c>
      <c r="M91" s="91"/>
      <c r="N91" s="91">
        <f>20000+119743+178565+132650+274298+790890+314359.5</f>
        <v>1830505.5</v>
      </c>
      <c r="O91" s="92">
        <f>D91-G91-K91</f>
        <v>1324627.7999999998</v>
      </c>
      <c r="P91" s="92">
        <f>O91*100/D91</f>
        <v>38.948185827697735</v>
      </c>
      <c r="Q91" s="91">
        <f>E91-I91-M91</f>
        <v>0</v>
      </c>
      <c r="R91" s="92">
        <f>F91-J91-N91</f>
        <v>1324627.7999999998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1610746.28</v>
      </c>
      <c r="H96" s="99">
        <f>G96*100/D96</f>
        <v>8.310526674233826</v>
      </c>
      <c r="I96" s="91"/>
      <c r="J96" s="92">
        <f>71922.6+68520+166602+99000+240000+581286.38+246510+136905.3</f>
        <v>1610746.28</v>
      </c>
      <c r="K96" s="92">
        <f>N96+M96</f>
        <v>8557459.41</v>
      </c>
      <c r="L96" s="116">
        <f>K96*100/D96</f>
        <v>44.15158089980394</v>
      </c>
      <c r="M96" s="91"/>
      <c r="N96" s="92">
        <f>2880346.91+2595072+2533347+40115+453420+55158.5</f>
        <v>8557459.41</v>
      </c>
      <c r="O96" s="92">
        <f>D96-G96-K96</f>
        <v>9213794.309999999</v>
      </c>
      <c r="P96" s="92">
        <f>O96*100/D96</f>
        <v>47.53789242596223</v>
      </c>
      <c r="Q96" s="91">
        <f>E96-I96-M96</f>
        <v>0</v>
      </c>
      <c r="R96" s="176">
        <f>F96-J96-N96</f>
        <v>9213794.309999999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4609695.2700000005</v>
      </c>
      <c r="H98" s="105">
        <f>G98*100/D98</f>
        <v>4.7281350530796455</v>
      </c>
      <c r="I98" s="161">
        <f>I64+I67+I70+I74+I78+I81+I84+I87+I91+I96</f>
        <v>0</v>
      </c>
      <c r="J98" s="105">
        <f>J64+J67+J70+J74+J78+J81+J84+J87+J91+J96</f>
        <v>4609695.2700000005</v>
      </c>
      <c r="K98" s="161">
        <f>N98+M98</f>
        <v>14911611.76</v>
      </c>
      <c r="L98" s="105">
        <f>K98*100/D98</f>
        <v>15.294745125391046</v>
      </c>
      <c r="M98" s="161">
        <f>M64+M67+M70+M74+M78+M81+M84+M87+M91+M96</f>
        <v>0</v>
      </c>
      <c r="N98" s="161">
        <f>N64+N67+N70+N74+N78+N81+N84+N87+N91+N96</f>
        <v>14911611.76</v>
      </c>
      <c r="O98" s="105">
        <f>D98-G98-K98</f>
        <v>77973692.97</v>
      </c>
      <c r="P98" s="105">
        <f>O98*100/D98</f>
        <v>79.97711982152931</v>
      </c>
      <c r="Q98" s="196">
        <f>E98-I98-M98</f>
        <v>1453900</v>
      </c>
      <c r="R98" s="114">
        <f>F98-J98-N98</f>
        <v>76519792.97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2423602.55</v>
      </c>
      <c r="H101" s="99">
        <f>G101*100/D101</f>
        <v>27.540938068181816</v>
      </c>
      <c r="I101" s="91"/>
      <c r="J101" s="92">
        <f>81420+247230+65337+247230+139529.7+243630+417520+3300+208450.15+43225.7+483100+243630</f>
        <v>2423602.55</v>
      </c>
      <c r="K101" s="91">
        <f>N101+M101</f>
        <v>528363.8</v>
      </c>
      <c r="L101" s="116">
        <f>K101*100/D101</f>
        <v>6.0041340909090914</v>
      </c>
      <c r="M101" s="91"/>
      <c r="N101" s="92">
        <f>92081+99572.8+250830+75000+10880</f>
        <v>528363.8</v>
      </c>
      <c r="O101" s="92">
        <f>D101-G101-K101</f>
        <v>5848033.65</v>
      </c>
      <c r="P101" s="92">
        <f>O101*100/D101</f>
        <v>66.4549278409091</v>
      </c>
      <c r="Q101" s="91">
        <f>E101-I101-M101</f>
        <v>0</v>
      </c>
      <c r="R101" s="176">
        <f>F101-J101-N101</f>
        <v>5848033.65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2423602.55</v>
      </c>
      <c r="H104" s="105">
        <f>G104*100/D104</f>
        <v>27.540938068181816</v>
      </c>
      <c r="I104" s="161">
        <f>I101</f>
        <v>0</v>
      </c>
      <c r="J104" s="105">
        <f>J101</f>
        <v>2423602.55</v>
      </c>
      <c r="K104" s="161">
        <f>N104+M104</f>
        <v>528363.8</v>
      </c>
      <c r="L104" s="105">
        <f>K104*100/D104</f>
        <v>6.0041340909090914</v>
      </c>
      <c r="M104" s="161">
        <f>M101</f>
        <v>0</v>
      </c>
      <c r="N104" s="161">
        <f>N101</f>
        <v>528363.8</v>
      </c>
      <c r="O104" s="105">
        <f>D104-G104-K104</f>
        <v>5848033.65</v>
      </c>
      <c r="P104" s="105">
        <f>O104*100/D104</f>
        <v>66.4549278409091</v>
      </c>
      <c r="Q104" s="149">
        <f>E104-I104-M104</f>
        <v>0</v>
      </c>
      <c r="R104" s="114">
        <f>F104-J104-N104</f>
        <v>5848033.65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94708.95</v>
      </c>
      <c r="H107" s="99">
        <f>G107*100/D107</f>
        <v>49.84681578947369</v>
      </c>
      <c r="I107" s="92"/>
      <c r="J107" s="92">
        <f>17310+72868.95+4530</f>
        <v>94708.95</v>
      </c>
      <c r="K107" s="92">
        <f>N107+M107</f>
        <v>0</v>
      </c>
      <c r="L107" s="99">
        <f>K107*100/D107</f>
        <v>0</v>
      </c>
      <c r="M107" s="92"/>
      <c r="N107" s="92"/>
      <c r="O107" s="92">
        <f>D107-G107-K107</f>
        <v>95291.05</v>
      </c>
      <c r="P107" s="92">
        <f>O107*100/D107</f>
        <v>50.15318421052631</v>
      </c>
      <c r="Q107" s="91">
        <f>E107-I107-M107</f>
        <v>0</v>
      </c>
      <c r="R107" s="92">
        <f>F107-J107-N107</f>
        <v>95291.05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140295.75</v>
      </c>
      <c r="H110" s="99">
        <f>G110*100/D110</f>
        <v>35.0739375</v>
      </c>
      <c r="I110" s="92"/>
      <c r="J110" s="92">
        <f>34620+105675.75</f>
        <v>140295.75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259704.25</v>
      </c>
      <c r="P110" s="92">
        <f>O110*100/D110</f>
        <v>64.9260625</v>
      </c>
      <c r="Q110" s="91">
        <f>E110-I110-M110</f>
        <v>0</v>
      </c>
      <c r="R110" s="92">
        <f>F110-J110-N110</f>
        <v>259704.25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290531.15</v>
      </c>
      <c r="H113" s="99">
        <f>G113*100/D113</f>
        <v>72.6327875</v>
      </c>
      <c r="I113" s="92"/>
      <c r="J113" s="92">
        <f>192780+46371.15+17240+34140</f>
        <v>290531.15</v>
      </c>
      <c r="K113" s="92">
        <f>N113+M113</f>
        <v>51876.7</v>
      </c>
      <c r="L113" s="99">
        <f>K113*100/D113</f>
        <v>12.969175</v>
      </c>
      <c r="M113" s="92"/>
      <c r="N113" s="92">
        <f>19625.2+7220+25031.5</f>
        <v>51876.7</v>
      </c>
      <c r="O113" s="92">
        <f>D113-G113-K113</f>
        <v>57592.14999999998</v>
      </c>
      <c r="P113" s="92">
        <f>O113*100/D113</f>
        <v>14.398037499999996</v>
      </c>
      <c r="Q113" s="91">
        <f>E113-I113-M113</f>
        <v>0</v>
      </c>
      <c r="R113" s="92">
        <f>F113-J113-N113</f>
        <v>57592.14999999998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81894.5</v>
      </c>
      <c r="H116" s="99">
        <f>G116*100/D116</f>
        <v>58.496071428571426</v>
      </c>
      <c r="I116" s="92"/>
      <c r="J116" s="92">
        <f>11540+4110+66244.5</f>
        <v>81894.5</v>
      </c>
      <c r="K116" s="92">
        <f>N116+M116</f>
        <v>0</v>
      </c>
      <c r="L116" s="99">
        <f>K116*100/D116</f>
        <v>0</v>
      </c>
      <c r="M116" s="92"/>
      <c r="N116" s="92"/>
      <c r="O116" s="92">
        <f>D116-G116-K116</f>
        <v>58105.5</v>
      </c>
      <c r="P116" s="92">
        <f>O116*100/D116</f>
        <v>41.503928571428574</v>
      </c>
      <c r="Q116" s="91">
        <f>E116-I116-M116</f>
        <v>0</v>
      </c>
      <c r="R116" s="92">
        <f>F116-J116-N116</f>
        <v>58105.5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607430.3500000001</v>
      </c>
      <c r="H118" s="195">
        <f>G118*100/D118</f>
        <v>53.7548982300885</v>
      </c>
      <c r="I118" s="200">
        <f>I107+I110+I113+I116</f>
        <v>0</v>
      </c>
      <c r="J118" s="195">
        <f>J107+J110+J113+J116</f>
        <v>607430.3500000001</v>
      </c>
      <c r="K118" s="200">
        <f>N118+M118</f>
        <v>51876.7</v>
      </c>
      <c r="L118" s="202">
        <f>K118*100/D118</f>
        <v>4.590858407079646</v>
      </c>
      <c r="M118" s="200">
        <f>M107+M110+M113+M116</f>
        <v>0</v>
      </c>
      <c r="N118" s="200">
        <f>N107+N110+N113+N116</f>
        <v>51876.7</v>
      </c>
      <c r="O118" s="195">
        <f>D118-G118-K118</f>
        <v>470692.9499999999</v>
      </c>
      <c r="P118" s="195">
        <f>O118*100/D118</f>
        <v>41.65424336283185</v>
      </c>
      <c r="Q118" s="194"/>
      <c r="R118" s="195">
        <f>F118-J118-N118</f>
        <v>470692.9499999999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11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2018-01-08T05:27:02Z</cp:lastPrinted>
  <dcterms:created xsi:type="dcterms:W3CDTF">2009-12-25T03:29:35Z</dcterms:created>
  <dcterms:modified xsi:type="dcterms:W3CDTF">2018-01-08T05:28:30Z</dcterms:modified>
  <cp:category/>
  <cp:version/>
  <cp:contentType/>
  <cp:contentStatus/>
</cp:coreProperties>
</file>